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kozul\Documents\49. FINANCIJSKI PLANOVI\- DOKUMENTI\2020\1. Rebalans FIN plana 10.7.2020\"/>
    </mc:Choice>
  </mc:AlternateContent>
  <bookViews>
    <workbookView xWindow="0" yWindow="0" windowWidth="23040" windowHeight="9195"/>
  </bookViews>
  <sheets>
    <sheet name="plan 19" sheetId="1" r:id="rId1"/>
  </sheets>
  <definedNames>
    <definedName name="_xlnm._FilterDatabase" localSheetId="0" hidden="1">'plan 19'!$A$4:$O$93</definedName>
    <definedName name="_xlnm.Print_Titles" localSheetId="0">'plan 19'!$A:$B,'plan 19'!$4:$4</definedName>
    <definedName name="_xlnm.Print_Area" localSheetId="0">'plan 19'!$A$1:$H$100</definedName>
  </definedNames>
  <calcPr calcId="162913"/>
</workbook>
</file>

<file path=xl/calcChain.xml><?xml version="1.0" encoding="utf-8"?>
<calcChain xmlns="http://schemas.openxmlformats.org/spreadsheetml/2006/main">
  <c r="G65" i="1" l="1"/>
  <c r="G56" i="1"/>
  <c r="G75" i="1"/>
  <c r="G44" i="1"/>
  <c r="G31" i="1"/>
  <c r="G20" i="1"/>
  <c r="G18" i="1"/>
  <c r="G23" i="1" l="1"/>
  <c r="H13" i="1"/>
  <c r="H12" i="1"/>
  <c r="H11" i="1"/>
  <c r="H10" i="1"/>
  <c r="H9" i="1"/>
  <c r="F74" i="1"/>
  <c r="E11" i="1"/>
  <c r="E15" i="1"/>
  <c r="E74" i="1"/>
  <c r="D74" i="1" l="1"/>
  <c r="C69" i="1"/>
  <c r="C71" i="1"/>
  <c r="C66" i="1"/>
  <c r="F16" i="1" l="1"/>
  <c r="C17" i="1"/>
  <c r="H40" i="1"/>
  <c r="H38" i="1"/>
  <c r="H39" i="1"/>
  <c r="D39" i="1"/>
  <c r="E39" i="1"/>
  <c r="F39" i="1"/>
  <c r="G39" i="1"/>
  <c r="C39" i="1"/>
  <c r="C29" i="1"/>
  <c r="G74" i="1" l="1"/>
  <c r="H77" i="1"/>
  <c r="C74" i="1"/>
  <c r="C70" i="1"/>
  <c r="F58" i="1"/>
  <c r="F10" i="1"/>
  <c r="F12" i="1"/>
  <c r="F14" i="1"/>
  <c r="F17" i="1"/>
  <c r="F23" i="1"/>
  <c r="F27" i="1"/>
  <c r="F29" i="1"/>
  <c r="F41" i="1"/>
  <c r="F49" i="1"/>
  <c r="F48" i="1" s="1"/>
  <c r="F55" i="1"/>
  <c r="F64" i="1"/>
  <c r="F72" i="1"/>
  <c r="F84" i="1"/>
  <c r="F22" i="1" l="1"/>
  <c r="F9" i="1"/>
  <c r="F54" i="1"/>
  <c r="F53" i="1" s="1"/>
  <c r="F52" i="1" s="1"/>
  <c r="F8" i="1" l="1"/>
  <c r="F7" i="1" s="1"/>
  <c r="G30" i="1"/>
  <c r="G28" i="1"/>
  <c r="G27" i="1"/>
  <c r="G24" i="1"/>
  <c r="K91" i="1" l="1"/>
  <c r="K89" i="1"/>
  <c r="K86" i="1"/>
  <c r="K85" i="1"/>
  <c r="K75" i="1"/>
  <c r="K73" i="1"/>
  <c r="H70" i="1"/>
  <c r="K66" i="1" l="1"/>
  <c r="K67" i="1"/>
  <c r="K68" i="1"/>
  <c r="K69" i="1"/>
  <c r="K70" i="1"/>
  <c r="L70" i="1"/>
  <c r="K71" i="1"/>
  <c r="K65" i="1"/>
  <c r="K63" i="1"/>
  <c r="K62" i="1"/>
  <c r="K60" i="1"/>
  <c r="K59" i="1"/>
  <c r="K57" i="1"/>
  <c r="K56" i="1"/>
  <c r="K51" i="1"/>
  <c r="K47" i="1"/>
  <c r="K46" i="1"/>
  <c r="K45" i="1" l="1"/>
  <c r="K44" i="1"/>
  <c r="K43" i="1"/>
  <c r="K42" i="1"/>
  <c r="K38" i="1"/>
  <c r="K37" i="1"/>
  <c r="K36" i="1"/>
  <c r="K35" i="1"/>
  <c r="K33" i="1"/>
  <c r="K32" i="1"/>
  <c r="K31" i="1"/>
  <c r="K30" i="1"/>
  <c r="K28" i="1"/>
  <c r="K25" i="1"/>
  <c r="K20" i="1" l="1"/>
  <c r="K19" i="1"/>
  <c r="K18" i="1"/>
  <c r="I74" i="1" l="1"/>
  <c r="I29" i="1"/>
  <c r="I90" i="1"/>
  <c r="I88" i="1"/>
  <c r="I84" i="1"/>
  <c r="I72" i="1"/>
  <c r="I64" i="1"/>
  <c r="I58" i="1"/>
  <c r="I55" i="1"/>
  <c r="I49" i="1"/>
  <c r="I48" i="1" s="1"/>
  <c r="I41" i="1"/>
  <c r="I22" i="1"/>
  <c r="I17" i="1"/>
  <c r="I12" i="1"/>
  <c r="I10" i="1"/>
  <c r="I15" i="1"/>
  <c r="I14" i="1" s="1"/>
  <c r="N74" i="1"/>
  <c r="N14" i="1"/>
  <c r="N78" i="1"/>
  <c r="N72" i="1"/>
  <c r="N90" i="1"/>
  <c r="N88" i="1"/>
  <c r="N84" i="1"/>
  <c r="N64" i="1"/>
  <c r="N58" i="1"/>
  <c r="N55" i="1"/>
  <c r="N49" i="1"/>
  <c r="N48" i="1" s="1"/>
  <c r="N41" i="1"/>
  <c r="N29" i="1"/>
  <c r="N22" i="1"/>
  <c r="N17" i="1"/>
  <c r="N12" i="1"/>
  <c r="N10" i="1"/>
  <c r="O90" i="1"/>
  <c r="O88" i="1"/>
  <c r="O84" i="1"/>
  <c r="O81" i="1"/>
  <c r="O78" i="1"/>
  <c r="O74" i="1"/>
  <c r="O72" i="1"/>
  <c r="O64" i="1"/>
  <c r="O58" i="1"/>
  <c r="O55" i="1"/>
  <c r="O49" i="1"/>
  <c r="O48" i="1" s="1"/>
  <c r="O41" i="1"/>
  <c r="O29" i="1"/>
  <c r="O22" i="1"/>
  <c r="O17" i="1"/>
  <c r="I83" i="1" l="1"/>
  <c r="I82" i="1" s="1"/>
  <c r="I81" i="1" s="1"/>
  <c r="N54" i="1"/>
  <c r="N52" i="1" s="1"/>
  <c r="I16" i="1"/>
  <c r="I54" i="1"/>
  <c r="I53" i="1" s="1"/>
  <c r="I52" i="1" s="1"/>
  <c r="I9" i="1"/>
  <c r="N9" i="1"/>
  <c r="O54" i="1"/>
  <c r="O53" i="1" s="1"/>
  <c r="O52" i="1" s="1"/>
  <c r="O16" i="1"/>
  <c r="O7" i="1" s="1"/>
  <c r="O83" i="1"/>
  <c r="N83" i="1"/>
  <c r="N82" i="1" s="1"/>
  <c r="N81" i="1" s="1"/>
  <c r="N16" i="1"/>
  <c r="N8" i="1" l="1"/>
  <c r="N7" i="1" s="1"/>
  <c r="N6" i="1" s="1"/>
  <c r="N92" i="1" s="1"/>
  <c r="I8" i="1"/>
  <c r="I7" i="1" s="1"/>
  <c r="I6" i="1" s="1"/>
  <c r="I92" i="1" s="1"/>
  <c r="O92" i="1"/>
  <c r="N53" i="1"/>
  <c r="H19" i="1" l="1"/>
  <c r="L19" i="1" s="1"/>
  <c r="J50" i="1" l="1"/>
  <c r="K50" i="1" s="1"/>
  <c r="J34" i="1"/>
  <c r="K34" i="1" s="1"/>
  <c r="J27" i="1"/>
  <c r="K27" i="1" s="1"/>
  <c r="J26" i="1"/>
  <c r="K26" i="1" s="1"/>
  <c r="J24" i="1"/>
  <c r="K24" i="1" s="1"/>
  <c r="J23" i="1"/>
  <c r="K23" i="1" s="1"/>
  <c r="E49" i="1" l="1"/>
  <c r="D49" i="1"/>
  <c r="H76" i="1"/>
  <c r="C67" i="1"/>
  <c r="C60" i="1"/>
  <c r="C59" i="1"/>
  <c r="F88" i="1" l="1"/>
  <c r="H91" i="1"/>
  <c r="L91" i="1" s="1"/>
  <c r="G90" i="1"/>
  <c r="F90" i="1"/>
  <c r="E90" i="1"/>
  <c r="D90" i="1"/>
  <c r="C90" i="1"/>
  <c r="D88" i="1"/>
  <c r="G88" i="1"/>
  <c r="C88" i="1"/>
  <c r="H87" i="1"/>
  <c r="H86" i="1"/>
  <c r="L86" i="1" s="1"/>
  <c r="H85" i="1"/>
  <c r="L85" i="1" s="1"/>
  <c r="G84" i="1"/>
  <c r="E84" i="1"/>
  <c r="D84" i="1"/>
  <c r="C84" i="1"/>
  <c r="H80" i="1"/>
  <c r="H79" i="1"/>
  <c r="C78" i="1"/>
  <c r="H78" i="1" s="1"/>
  <c r="H73" i="1"/>
  <c r="L73" i="1" s="1"/>
  <c r="G72" i="1"/>
  <c r="E72" i="1"/>
  <c r="D72" i="1"/>
  <c r="C72" i="1"/>
  <c r="H71" i="1"/>
  <c r="L71" i="1" s="1"/>
  <c r="H69" i="1"/>
  <c r="L69" i="1" s="1"/>
  <c r="H68" i="1"/>
  <c r="L68" i="1" s="1"/>
  <c r="H67" i="1"/>
  <c r="L67" i="1" s="1"/>
  <c r="H66" i="1"/>
  <c r="L66" i="1" s="1"/>
  <c r="H65" i="1"/>
  <c r="L65" i="1" s="1"/>
  <c r="G64" i="1"/>
  <c r="E64" i="1"/>
  <c r="C64" i="1"/>
  <c r="H63" i="1"/>
  <c r="L63" i="1" s="1"/>
  <c r="H62" i="1"/>
  <c r="L62" i="1" s="1"/>
  <c r="H61" i="1"/>
  <c r="H60" i="1"/>
  <c r="L60" i="1" s="1"/>
  <c r="G58" i="1"/>
  <c r="E58" i="1"/>
  <c r="C58" i="1"/>
  <c r="H57" i="1"/>
  <c r="L57" i="1" s="1"/>
  <c r="H56" i="1"/>
  <c r="L56" i="1" s="1"/>
  <c r="G55" i="1"/>
  <c r="E55" i="1"/>
  <c r="D55" i="1"/>
  <c r="C55" i="1"/>
  <c r="H51" i="1"/>
  <c r="L51" i="1" s="1"/>
  <c r="H50" i="1"/>
  <c r="L50" i="1" s="1"/>
  <c r="G49" i="1"/>
  <c r="G48" i="1" s="1"/>
  <c r="E48" i="1"/>
  <c r="D48" i="1"/>
  <c r="C49" i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G41" i="1"/>
  <c r="E41" i="1"/>
  <c r="D41" i="1"/>
  <c r="C41" i="1"/>
  <c r="C16" i="1" s="1"/>
  <c r="L38" i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G29" i="1"/>
  <c r="E29" i="1"/>
  <c r="D29" i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G22" i="1"/>
  <c r="E22" i="1"/>
  <c r="D22" i="1"/>
  <c r="C22" i="1"/>
  <c r="H21" i="1"/>
  <c r="H20" i="1"/>
  <c r="L20" i="1" s="1"/>
  <c r="H18" i="1"/>
  <c r="G17" i="1"/>
  <c r="E17" i="1"/>
  <c r="D17" i="1"/>
  <c r="G15" i="1"/>
  <c r="H15" i="1" s="1"/>
  <c r="E14" i="1"/>
  <c r="D14" i="1"/>
  <c r="C14" i="1"/>
  <c r="G12" i="1"/>
  <c r="E12" i="1"/>
  <c r="D12" i="1"/>
  <c r="C12" i="1"/>
  <c r="G11" i="1"/>
  <c r="E10" i="1"/>
  <c r="D10" i="1"/>
  <c r="C10" i="1"/>
  <c r="G16" i="1" l="1"/>
  <c r="E16" i="1"/>
  <c r="D16" i="1"/>
  <c r="F83" i="1"/>
  <c r="F82" i="1" s="1"/>
  <c r="F81" i="1" s="1"/>
  <c r="F6" i="1" s="1"/>
  <c r="H29" i="1"/>
  <c r="H41" i="1"/>
  <c r="L18" i="1"/>
  <c r="H17" i="1"/>
  <c r="D64" i="1"/>
  <c r="H64" i="1" s="1"/>
  <c r="H75" i="1"/>
  <c r="L75" i="1" s="1"/>
  <c r="D58" i="1"/>
  <c r="H58" i="1" s="1"/>
  <c r="E9" i="1"/>
  <c r="D9" i="1"/>
  <c r="H84" i="1"/>
  <c r="C83" i="1"/>
  <c r="G83" i="1"/>
  <c r="G82" i="1" s="1"/>
  <c r="G81" i="1" s="1"/>
  <c r="H49" i="1"/>
  <c r="E54" i="1"/>
  <c r="E53" i="1" s="1"/>
  <c r="E52" i="1" s="1"/>
  <c r="G14" i="1"/>
  <c r="H14" i="1" s="1"/>
  <c r="C54" i="1"/>
  <c r="G54" i="1"/>
  <c r="H74" i="1"/>
  <c r="G10" i="1"/>
  <c r="H89" i="1"/>
  <c r="L89" i="1" s="1"/>
  <c r="H59" i="1"/>
  <c r="L59" i="1" s="1"/>
  <c r="H72" i="1"/>
  <c r="D83" i="1"/>
  <c r="D82" i="1" s="1"/>
  <c r="D81" i="1" s="1"/>
  <c r="H90" i="1"/>
  <c r="H55" i="1"/>
  <c r="E88" i="1"/>
  <c r="E83" i="1" s="1"/>
  <c r="C9" i="1"/>
  <c r="C48" i="1"/>
  <c r="H48" i="1" s="1"/>
  <c r="E82" i="1" l="1"/>
  <c r="E81" i="1" s="1"/>
  <c r="C82" i="1"/>
  <c r="C81" i="1" s="1"/>
  <c r="C8" i="1"/>
  <c r="C7" i="1" s="1"/>
  <c r="H16" i="1"/>
  <c r="H22" i="1"/>
  <c r="C53" i="1"/>
  <c r="C52" i="1" s="1"/>
  <c r="D54" i="1"/>
  <c r="D53" i="1" s="1"/>
  <c r="D52" i="1" s="1"/>
  <c r="G52" i="1"/>
  <c r="G53" i="1"/>
  <c r="E8" i="1"/>
  <c r="E7" i="1" s="1"/>
  <c r="D8" i="1"/>
  <c r="D7" i="1" s="1"/>
  <c r="G9" i="1"/>
  <c r="G8" i="1" s="1"/>
  <c r="F92" i="1"/>
  <c r="H88" i="1"/>
  <c r="H83" i="1" s="1"/>
  <c r="H82" i="1"/>
  <c r="G7" i="1" l="1"/>
  <c r="H7" i="1" s="1"/>
  <c r="H8" i="1"/>
  <c r="E6" i="1"/>
  <c r="E92" i="1" s="1"/>
  <c r="H81" i="1"/>
  <c r="H54" i="1"/>
  <c r="H53" i="1"/>
  <c r="H52" i="1"/>
  <c r="D6" i="1"/>
  <c r="D92" i="1" s="1"/>
  <c r="G6" i="1"/>
  <c r="G92" i="1" s="1"/>
  <c r="H6" i="1" l="1"/>
  <c r="C6" i="1"/>
  <c r="C92" i="1" s="1"/>
  <c r="H92" i="1" s="1"/>
</calcChain>
</file>

<file path=xl/comments1.xml><?xml version="1.0" encoding="utf-8"?>
<comments xmlns="http://schemas.openxmlformats.org/spreadsheetml/2006/main">
  <authors>
    <author>Petra Kožul</author>
  </authors>
  <commentList>
    <comment ref="K24" authorId="0" shapeId="0">
      <text>
        <r>
          <rPr>
            <b/>
            <sz val="9"/>
            <color indexed="81"/>
            <rFont val="Tahoma"/>
            <family val="2"/>
            <charset val="238"/>
          </rPr>
          <t>Petra Kožul:</t>
        </r>
        <r>
          <rPr>
            <sz val="9"/>
            <color indexed="81"/>
            <rFont val="Tahoma"/>
            <family val="2"/>
            <charset val="238"/>
          </rPr>
          <t xml:space="preserve">
Toneri potr. 18.643,11 od 230.000 kn</t>
        </r>
      </text>
    </commen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Petra Kožul:</t>
        </r>
        <r>
          <rPr>
            <sz val="9"/>
            <color indexed="81"/>
            <rFont val="Segoe UI"/>
            <family val="2"/>
            <charset val="238"/>
          </rPr>
          <t xml:space="preserve">
171.850,00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>Petra Kožul:</t>
        </r>
        <r>
          <rPr>
            <sz val="9"/>
            <color indexed="81"/>
            <rFont val="Tahoma"/>
            <family val="2"/>
            <charset val="238"/>
          </rPr>
          <t xml:space="preserve">
Preknjižiti na programsku bespl.upis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38"/>
          </rPr>
          <t>Petra Kožul:</t>
        </r>
        <r>
          <rPr>
            <sz val="9"/>
            <color indexed="81"/>
            <rFont val="Tahoma"/>
            <family val="2"/>
            <charset val="238"/>
          </rPr>
          <t xml:space="preserve">
Preknjižiti na grad</t>
        </r>
      </text>
    </comment>
    <comment ref="G59" authorId="0" shapeId="0">
      <text>
        <r>
          <rPr>
            <b/>
            <sz val="9"/>
            <color indexed="81"/>
            <rFont val="Segoe UI"/>
            <family val="2"/>
            <charset val="238"/>
          </rPr>
          <t>Petra Kožul:</t>
        </r>
        <r>
          <rPr>
            <sz val="9"/>
            <color indexed="81"/>
            <rFont val="Segoe UI"/>
            <family val="2"/>
            <charset val="238"/>
          </rPr>
          <t xml:space="preserve">
350.000
</t>
        </r>
      </text>
    </comment>
    <comment ref="G85" authorId="0" shapeId="0">
      <text>
        <r>
          <rPr>
            <b/>
            <sz val="9"/>
            <color indexed="81"/>
            <rFont val="Segoe UI"/>
            <family val="2"/>
            <charset val="238"/>
          </rPr>
          <t>Petra Kožul:</t>
        </r>
        <r>
          <rPr>
            <sz val="9"/>
            <color indexed="81"/>
            <rFont val="Segoe UI"/>
            <family val="2"/>
            <charset val="238"/>
          </rPr>
          <t xml:space="preserve">
300000 račun.oprema
</t>
        </r>
      </text>
    </comment>
  </commentList>
</comments>
</file>

<file path=xl/sharedStrings.xml><?xml version="1.0" encoding="utf-8"?>
<sst xmlns="http://schemas.openxmlformats.org/spreadsheetml/2006/main" count="160" uniqueCount="120">
  <si>
    <t>USTANOVA:</t>
  </si>
  <si>
    <t>KNJIŽNICE GRADA ZAGREBA</t>
  </si>
  <si>
    <t>Broj ek.klas.</t>
  </si>
  <si>
    <t>Naziv računa rashoda/izdatka</t>
  </si>
  <si>
    <t>Sredstva Gradskog ureda za kulturu</t>
  </si>
  <si>
    <t>Sredstva državnog proračuna</t>
  </si>
  <si>
    <t>Sredstva lokalnog proračuna</t>
  </si>
  <si>
    <t>Ostali izvori financiranja</t>
  </si>
  <si>
    <t>Vlastita sredstva</t>
  </si>
  <si>
    <t>Program 1001</t>
  </si>
  <si>
    <t>JAVNE POTREBE U KULTURI</t>
  </si>
  <si>
    <t>Aktivnost A100001 Redovna djelatnost javnih ustanova u kulturi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</si>
  <si>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</si>
  <si>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</si>
  <si>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</si>
  <si>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</si>
  <si>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</si>
  <si>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</si>
  <si>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</si>
  <si>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Ostali rashodi za zaposlene</t>
  </si>
  <si>
    <t>Doprinosi na plaće</t>
  </si>
  <si>
    <t>3132</t>
  </si>
  <si>
    <t>Doprinosi za obvezno zdravstveno osiguranje</t>
  </si>
  <si>
    <t>32</t>
  </si>
  <si>
    <t>MATERIJALNI RASHODI</t>
  </si>
  <si>
    <t>Naknade troškova zaposlenima</t>
  </si>
  <si>
    <t>3211</t>
  </si>
  <si>
    <t>Službena putovanja</t>
  </si>
  <si>
    <t>Naknade za prijevoz, za rad na terenu i odvojeni život</t>
  </si>
  <si>
    <t>3213</t>
  </si>
  <si>
    <t>Stručno usavršavanje zaposlenika</t>
  </si>
  <si>
    <t>Ostale naknade troškova zaposlenika</t>
  </si>
  <si>
    <t>Rashodi za materijal i energiju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</si>
  <si>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</si>
  <si>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</si>
  <si>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</si>
  <si>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</si>
  <si>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</si>
  <si>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</si>
  <si>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</si>
  <si>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</si>
  <si>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</si>
  <si>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 xml:space="preserve">Službena, radna i zaštitna odjeća 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</si>
  <si>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</si>
  <si>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</si>
  <si>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</si>
  <si>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</si>
  <si>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</si>
  <si>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</si>
  <si>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</si>
  <si>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</si>
  <si>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</si>
  <si>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3235</t>
  </si>
  <si>
    <t>Zakupnine i najamnine</t>
  </si>
  <si>
    <t>Zdravstvene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</si>
  <si>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</si>
  <si>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</si>
  <si>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</si>
  <si>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</si>
  <si>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</si>
  <si>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</si>
  <si>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</si>
  <si>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</si>
  <si>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</si>
  <si>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</t>
  </si>
  <si>
    <t>3292</t>
  </si>
  <si>
    <t>Premije osiguranja</t>
  </si>
  <si>
    <t>Reprezentacija</t>
  </si>
  <si>
    <t>3294</t>
  </si>
  <si>
    <t>Članarine</t>
  </si>
  <si>
    <t>3295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</si>
  <si>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</si>
  <si>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</si>
  <si>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</si>
  <si>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</si>
  <si>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</si>
  <si>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Aktivnost A100003 Programska djelatnost javnih ustanova u kulturi</t>
  </si>
  <si>
    <t>322</t>
  </si>
  <si>
    <t>Sitni inventar-didaktika</t>
  </si>
  <si>
    <t>Naknade troškova osobama izvan radnog odnosa</t>
  </si>
  <si>
    <t>Usluge vanjskih suradnika</t>
  </si>
  <si>
    <t xml:space="preserve">Aktivnost A100006 Naknade građanima i kućanstvima u naravi </t>
  </si>
  <si>
    <t>Projekt K100002 Opremanje ustanova u kulturi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</si>
  <si>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</si>
  <si>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</si>
  <si>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</si>
  <si>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</si>
  <si>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</si>
  <si>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</si>
  <si>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</si>
  <si>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</si>
  <si>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</si>
  <si>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Sportska i glazbena oprema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</si>
  <si>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</si>
  <si>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</si>
  <si>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</si>
  <si>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</si>
  <si>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</si>
  <si>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</si>
  <si>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</si>
  <si>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Ulaganja u računalne programe</t>
  </si>
  <si>
    <t>UKUPNO GLAVA 05: DJELATNOST KULTURE</t>
  </si>
  <si>
    <t>Preneseni višak prihoda vlastitih sredstava</t>
  </si>
  <si>
    <t>Vlastita sredstva - realizirano</t>
  </si>
  <si>
    <t>Ukupno godišnji plan 2018.g.</t>
  </si>
  <si>
    <t>Vlastita sredstva 2018.g.</t>
  </si>
  <si>
    <t>Ukupno realizirano 2018.</t>
  </si>
  <si>
    <t>Ukupno realizirano 13.9.2019.</t>
  </si>
  <si>
    <t>Neutrošeno vl.sred.</t>
  </si>
  <si>
    <t>Neutrošeno ukupno</t>
  </si>
  <si>
    <t>Voditeljica službe</t>
  </si>
  <si>
    <t>Ravnateljica</t>
  </si>
  <si>
    <t>financija i računovodstva</t>
  </si>
  <si>
    <t>Petra Kožul, dipl.oec.</t>
  </si>
  <si>
    <t>FINANCIJSKI PLAN RASHODA ZA 2020. GODINU - Rebalans 1</t>
  </si>
  <si>
    <t>Naknade osobama izvan radnog odnosa</t>
  </si>
  <si>
    <t xml:space="preserve">E-Knjige </t>
  </si>
  <si>
    <t>Ukupno godišnji plan 2020. g. Rebalans 1</t>
  </si>
  <si>
    <t>Zagreb, 10.07.2020.</t>
  </si>
  <si>
    <t>Višnja Cej, knjižničarska savjetnica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</si>
</sst>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4" fontId="1" fillId="0" borderId="0" xfId="1" applyNumberFormat="1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/>
    <xf numFmtId="4" fontId="4" fillId="0" borderId="4" xfId="1" applyNumberFormat="1" applyFont="1" applyBorder="1"/>
    <xf numFmtId="4" fontId="4" fillId="4" borderId="4" xfId="1" applyNumberFormat="1" applyFont="1" applyFill="1" applyBorder="1"/>
    <xf numFmtId="4" fontId="5" fillId="3" borderId="4" xfId="1" applyNumberFormat="1" applyFont="1" applyFill="1" applyBorder="1"/>
    <xf numFmtId="0" fontId="5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/>
    <xf numFmtId="4" fontId="3" fillId="0" borderId="4" xfId="1" applyNumberFormat="1" applyFont="1" applyBorder="1"/>
    <xf numFmtId="0" fontId="3" fillId="0" borderId="0" xfId="1" applyFont="1"/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/>
    <xf numFmtId="4" fontId="3" fillId="3" borderId="4" xfId="1" applyNumberFormat="1" applyFont="1" applyFill="1" applyBorder="1"/>
    <xf numFmtId="0" fontId="1" fillId="0" borderId="3" xfId="1" applyBorder="1" applyAlignment="1">
      <alignment horizontal="center" vertical="center"/>
    </xf>
    <xf numFmtId="0" fontId="0" fillId="0" borderId="4" xfId="1" applyFont="1" applyBorder="1"/>
    <xf numFmtId="4" fontId="1" fillId="4" borderId="4" xfId="1" applyNumberFormat="1" applyFill="1" applyBorder="1"/>
    <xf numFmtId="4" fontId="1" fillId="0" borderId="4" xfId="1" applyNumberFormat="1" applyBorder="1"/>
    <xf numFmtId="0" fontId="1" fillId="4" borderId="3" xfId="1" applyFill="1" applyBorder="1" applyAlignment="1">
      <alignment horizontal="center" vertical="center"/>
    </xf>
    <xf numFmtId="0" fontId="0" fillId="4" borderId="4" xfId="1" applyFont="1" applyFill="1" applyBorder="1"/>
    <xf numFmtId="4" fontId="1" fillId="0" borderId="5" xfId="1" applyNumberFormat="1" applyBorder="1"/>
    <xf numFmtId="4" fontId="1" fillId="4" borderId="5" xfId="1" applyNumberFormat="1" applyFill="1" applyBorder="1"/>
    <xf numFmtId="0" fontId="7" fillId="0" borderId="0" xfId="1" applyFont="1"/>
    <xf numFmtId="0" fontId="1" fillId="0" borderId="4" xfId="1" applyBorder="1"/>
    <xf numFmtId="4" fontId="4" fillId="0" borderId="9" xfId="1" applyNumberFormat="1" applyFont="1" applyBorder="1"/>
    <xf numFmtId="0" fontId="1" fillId="0" borderId="0" xfId="1" applyAlignment="1">
      <alignment horizontal="center" vertical="center"/>
    </xf>
    <xf numFmtId="0" fontId="3" fillId="0" borderId="10" xfId="1" applyFont="1" applyBorder="1" applyAlignment="1">
      <alignment horizontal="right"/>
    </xf>
    <xf numFmtId="4" fontId="6" fillId="0" borderId="10" xfId="1" applyNumberFormat="1" applyFont="1" applyBorder="1"/>
    <xf numFmtId="0" fontId="6" fillId="0" borderId="10" xfId="1" applyFont="1" applyBorder="1"/>
    <xf numFmtId="4" fontId="3" fillId="0" borderId="10" xfId="1" applyNumberFormat="1" applyFont="1" applyBorder="1"/>
    <xf numFmtId="0" fontId="2" fillId="2" borderId="11" xfId="1" applyFont="1" applyFill="1" applyBorder="1" applyAlignment="1">
      <alignment vertical="center" wrapText="1"/>
    </xf>
    <xf numFmtId="4" fontId="4" fillId="0" borderId="5" xfId="1" applyNumberFormat="1" applyFont="1" applyBorder="1"/>
    <xf numFmtId="4" fontId="5" fillId="3" borderId="5" xfId="1" applyNumberFormat="1" applyFont="1" applyFill="1" applyBorder="1"/>
    <xf numFmtId="4" fontId="3" fillId="0" borderId="5" xfId="1" applyNumberFormat="1" applyFont="1" applyBorder="1"/>
    <xf numFmtId="4" fontId="3" fillId="3" borderId="5" xfId="1" applyNumberFormat="1" applyFont="1" applyFill="1" applyBorder="1"/>
    <xf numFmtId="0" fontId="6" fillId="0" borderId="12" xfId="1" applyFont="1" applyBorder="1"/>
    <xf numFmtId="0" fontId="5" fillId="0" borderId="4" xfId="1" applyFont="1" applyBorder="1"/>
    <xf numFmtId="4" fontId="6" fillId="0" borderId="4" xfId="1" applyNumberFormat="1" applyFont="1" applyBorder="1"/>
    <xf numFmtId="4" fontId="7" fillId="0" borderId="4" xfId="1" applyNumberFormat="1" applyFont="1" applyBorder="1"/>
    <xf numFmtId="0" fontId="9" fillId="2" borderId="2" xfId="1" applyFont="1" applyFill="1" applyBorder="1" applyAlignment="1">
      <alignment vertical="center" wrapText="1"/>
    </xf>
    <xf numFmtId="4" fontId="10" fillId="0" borderId="4" xfId="1" applyNumberFormat="1" applyFont="1" applyBorder="1"/>
    <xf numFmtId="4" fontId="11" fillId="0" borderId="4" xfId="1" applyNumberFormat="1" applyFont="1" applyBorder="1"/>
    <xf numFmtId="4" fontId="12" fillId="0" borderId="4" xfId="1" applyNumberFormat="1" applyFont="1" applyBorder="1"/>
    <xf numFmtId="0" fontId="13" fillId="2" borderId="11" xfId="1" applyFont="1" applyFill="1" applyBorder="1" applyAlignment="1">
      <alignment vertical="center" wrapText="1"/>
    </xf>
    <xf numFmtId="4" fontId="3" fillId="4" borderId="10" xfId="1" applyNumberFormat="1" applyFont="1" applyFill="1" applyBorder="1"/>
    <xf numFmtId="0" fontId="13" fillId="2" borderId="4" xfId="1" applyFont="1" applyFill="1" applyBorder="1" applyAlignment="1">
      <alignment vertical="center" wrapText="1"/>
    </xf>
    <xf numFmtId="0" fontId="6" fillId="0" borderId="0" xfId="1" applyFont="1" applyBorder="1"/>
    <xf numFmtId="0" fontId="9" fillId="2" borderId="11" xfId="1" applyFont="1" applyFill="1" applyBorder="1" applyAlignment="1">
      <alignment vertical="center" wrapText="1"/>
    </xf>
    <xf numFmtId="0" fontId="1" fillId="0" borderId="5" xfId="1" applyBorder="1"/>
    <xf numFmtId="0" fontId="5" fillId="0" borderId="5" xfId="1" applyFont="1" applyBorder="1"/>
    <xf numFmtId="4" fontId="7" fillId="0" borderId="5" xfId="1" applyNumberFormat="1" applyFont="1" applyBorder="1"/>
    <xf numFmtId="4" fontId="11" fillId="5" borderId="4" xfId="1" applyNumberFormat="1" applyFont="1" applyFill="1" applyBorder="1"/>
    <xf numFmtId="4" fontId="16" fillId="4" borderId="4" xfId="1" applyNumberFormat="1" applyFont="1" applyFill="1" applyBorder="1"/>
    <xf numFmtId="0" fontId="1" fillId="4" borderId="0" xfId="1" applyFill="1"/>
    <xf numFmtId="4" fontId="1" fillId="0" borderId="4" xfId="1" applyNumberFormat="1" applyFill="1" applyBorder="1"/>
    <xf numFmtId="0" fontId="9" fillId="2" borderId="13" xfId="1" applyFont="1" applyFill="1" applyBorder="1" applyAlignment="1">
      <alignment vertical="center" wrapText="1"/>
    </xf>
    <xf numFmtId="0" fontId="1" fillId="3" borderId="14" xfId="1" applyFill="1" applyBorder="1" applyAlignment="1">
      <alignment horizontal="center" vertical="center"/>
    </xf>
    <xf numFmtId="4" fontId="4" fillId="0" borderId="14" xfId="1" applyNumberFormat="1" applyFont="1" applyBorder="1"/>
    <xf numFmtId="4" fontId="5" fillId="3" borderId="7" xfId="1" applyNumberFormat="1" applyFont="1" applyFill="1" applyBorder="1"/>
    <xf numFmtId="4" fontId="3" fillId="0" borderId="14" xfId="1" applyNumberFormat="1" applyFont="1" applyBorder="1"/>
    <xf numFmtId="4" fontId="3" fillId="3" borderId="14" xfId="1" applyNumberFormat="1" applyFont="1" applyFill="1" applyBorder="1"/>
    <xf numFmtId="4" fontId="1" fillId="0" borderId="14" xfId="1" applyNumberFormat="1" applyBorder="1"/>
    <xf numFmtId="4" fontId="1" fillId="4" borderId="14" xfId="1" applyNumberFormat="1" applyFill="1" applyBorder="1"/>
    <xf numFmtId="4" fontId="5" fillId="3" borderId="14" xfId="1" applyNumberFormat="1" applyFont="1" applyFill="1" applyBorder="1"/>
    <xf numFmtId="4" fontId="4" fillId="0" borderId="15" xfId="1" applyNumberFormat="1" applyFont="1" applyBorder="1"/>
    <xf numFmtId="0" fontId="2" fillId="2" borderId="16" xfId="1" applyFont="1" applyFill="1" applyBorder="1" applyAlignment="1">
      <alignment vertical="center" wrapText="1"/>
    </xf>
    <xf numFmtId="0" fontId="1" fillId="3" borderId="17" xfId="1" applyFill="1" applyBorder="1" applyAlignment="1">
      <alignment horizontal="center" vertical="center"/>
    </xf>
    <xf numFmtId="4" fontId="4" fillId="0" borderId="17" xfId="1" applyNumberFormat="1" applyFont="1" applyBorder="1"/>
    <xf numFmtId="4" fontId="5" fillId="3" borderId="17" xfId="1" applyNumberFormat="1" applyFont="1" applyFill="1" applyBorder="1"/>
    <xf numFmtId="4" fontId="3" fillId="0" borderId="17" xfId="1" applyNumberFormat="1" applyFont="1" applyBorder="1"/>
    <xf numFmtId="4" fontId="3" fillId="3" borderId="17" xfId="1" applyNumberFormat="1" applyFont="1" applyFill="1" applyBorder="1"/>
    <xf numFmtId="4" fontId="1" fillId="0" borderId="17" xfId="1" applyNumberFormat="1" applyBorder="1"/>
    <xf numFmtId="4" fontId="1" fillId="4" borderId="17" xfId="1" applyNumberFormat="1" applyFill="1" applyBorder="1"/>
    <xf numFmtId="4" fontId="4" fillId="0" borderId="18" xfId="1" applyNumberFormat="1" applyFont="1" applyBorder="1"/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wrapText="1"/>
    </xf>
    <xf numFmtId="0" fontId="0" fillId="0" borderId="0" xfId="1" applyFont="1"/>
    <xf numFmtId="0" fontId="3" fillId="0" borderId="0" xfId="1" applyFont="1" applyBorder="1" applyAlignment="1">
      <alignment horizontal="right"/>
    </xf>
    <xf numFmtId="4" fontId="6" fillId="0" borderId="0" xfId="1" applyNumberFormat="1" applyFont="1" applyBorder="1"/>
    <xf numFmtId="4" fontId="3" fillId="0" borderId="0" xfId="1" applyNumberFormat="1" applyFont="1" applyBorder="1"/>
    <xf numFmtId="4" fontId="3" fillId="4" borderId="0" xfId="1" applyNumberFormat="1" applyFont="1" applyFill="1" applyBorder="1"/>
    <xf numFmtId="0" fontId="1" fillId="0" borderId="0" xfId="1" applyBorder="1"/>
    <xf numFmtId="4" fontId="1" fillId="0" borderId="0" xfId="1" applyNumberFormat="1" applyBorder="1"/>
    <xf numFmtId="0" fontId="8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/>
    </xf>
    <xf numFmtId="0" fontId="5" fillId="3" borderId="7" xfId="1" applyFont="1" applyFill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abSelected="1" zoomScale="90" zoomScaleNormal="90" zoomScaleSheetLayoutView="100" workbookViewId="0">
      <pane ySplit="4" topLeftCell="A80" activePane="bottomLeft" state="frozen"/>
      <selection pane="bottomLeft" activeCell="Q102" sqref="Q102"/>
    </sheetView>
  </sheetViews>
  <sheetFormatPr defaultColWidth="9.140625" defaultRowHeight="15" x14ac:dyDescent="0.25"/>
  <cols>
    <col min="1" max="1" width="14.140625" style="34" customWidth="1" collapsed="1"/>
    <col min="2" max="2" width="55.42578125" style="2" customWidth="1" collapsed="1"/>
    <col min="3" max="3" width="18.28515625" style="3" customWidth="1"/>
    <col min="4" max="7" width="18.28515625" style="2" customWidth="1"/>
    <col min="8" max="8" width="18.28515625" style="3" customWidth="1"/>
    <col min="9" max="9" width="16" style="3" hidden="1" customWidth="1"/>
    <col min="10" max="12" width="13.7109375" style="2" hidden="1" customWidth="1"/>
    <col min="13" max="13" width="16" style="2" hidden="1" customWidth="1"/>
    <col min="14" max="14" width="15.42578125" style="2" hidden="1" customWidth="1"/>
    <col min="15" max="15" width="14" style="2" hidden="1" customWidth="1"/>
    <col min="16" max="16384" width="9.140625" style="2"/>
  </cols>
  <sheetData>
    <row r="1" spans="1:15" x14ac:dyDescent="0.25">
      <c r="A1" s="1" t="s">
        <v>0</v>
      </c>
      <c r="B1" s="94" t="s">
        <v>1</v>
      </c>
      <c r="C1" s="94"/>
      <c r="G1" s="3"/>
    </row>
    <row r="2" spans="1:15" x14ac:dyDescent="0.25">
      <c r="A2" s="1"/>
      <c r="B2" s="94" t="s">
        <v>114</v>
      </c>
      <c r="C2" s="94"/>
      <c r="G2" s="3"/>
    </row>
    <row r="3" spans="1:15" ht="15.75" thickBot="1" x14ac:dyDescent="0.3">
      <c r="A3" s="1"/>
    </row>
    <row r="4" spans="1:15" ht="45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4" t="s">
        <v>117</v>
      </c>
      <c r="I4" s="64" t="s">
        <v>107</v>
      </c>
      <c r="J4" s="48" t="s">
        <v>103</v>
      </c>
      <c r="K4" s="56" t="s">
        <v>108</v>
      </c>
      <c r="L4" s="39" t="s">
        <v>109</v>
      </c>
      <c r="M4" s="52" t="s">
        <v>104</v>
      </c>
      <c r="N4" s="54" t="s">
        <v>106</v>
      </c>
      <c r="O4" s="54" t="s">
        <v>105</v>
      </c>
    </row>
    <row r="5" spans="1:15" ht="15" customHeight="1" x14ac:dyDescent="0.2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75">
        <v>8</v>
      </c>
      <c r="I5" s="65"/>
      <c r="J5" s="32"/>
      <c r="K5" s="32"/>
      <c r="L5" s="32"/>
      <c r="M5" s="26"/>
      <c r="N5" s="32"/>
      <c r="O5" s="32"/>
    </row>
    <row r="6" spans="1:15" ht="15.75" customHeight="1" x14ac:dyDescent="0.25">
      <c r="A6" s="10" t="s">
        <v>9</v>
      </c>
      <c r="B6" s="11" t="s">
        <v>10</v>
      </c>
      <c r="C6" s="12">
        <f>C7+C52+C78+C81</f>
        <v>87624500</v>
      </c>
      <c r="D6" s="13">
        <f>D7+D52+D81</f>
        <v>2747753</v>
      </c>
      <c r="E6" s="12">
        <f>E7+E52+E81</f>
        <v>3126230</v>
      </c>
      <c r="F6" s="13">
        <f>F7+F52+F81</f>
        <v>142000</v>
      </c>
      <c r="G6" s="12">
        <f>G7+G52+G81</f>
        <v>6217517</v>
      </c>
      <c r="H6" s="76">
        <f>H7+H52+H78+H81</f>
        <v>99858000</v>
      </c>
      <c r="I6" s="66">
        <f>I7+I52+I81</f>
        <v>61274599.600000001</v>
      </c>
      <c r="J6" s="32"/>
      <c r="K6" s="57"/>
      <c r="L6" s="57"/>
      <c r="M6" s="40">
        <v>104581628.69</v>
      </c>
      <c r="N6" s="40">
        <f>N7+N52+N81+N78</f>
        <v>103291929.86999999</v>
      </c>
      <c r="O6" s="26"/>
    </row>
    <row r="7" spans="1:15" s="15" customFormat="1" ht="15" customHeight="1" x14ac:dyDescent="0.25">
      <c r="A7" s="95" t="s">
        <v>11</v>
      </c>
      <c r="B7" s="96"/>
      <c r="C7" s="14">
        <f>C8</f>
        <v>80796000</v>
      </c>
      <c r="D7" s="14">
        <f>D8</f>
        <v>955000</v>
      </c>
      <c r="E7" s="14">
        <f>E8</f>
        <v>2838230</v>
      </c>
      <c r="F7" s="14">
        <f t="shared" ref="F7" si="0">F8</f>
        <v>18000</v>
      </c>
      <c r="G7" s="14">
        <f>G8</f>
        <v>4514017</v>
      </c>
      <c r="H7" s="77">
        <f t="shared" ref="H7:H16" si="1">SUM(C7:G7)</f>
        <v>89121247</v>
      </c>
      <c r="I7" s="67">
        <f>I8</f>
        <v>56902781.25</v>
      </c>
      <c r="J7" s="45"/>
      <c r="K7" s="58"/>
      <c r="L7" s="58"/>
      <c r="M7" s="41">
        <v>93054628.689999998</v>
      </c>
      <c r="N7" s="14">
        <f>N8</f>
        <v>91896079.640000001</v>
      </c>
      <c r="O7" s="14">
        <f>O16+O48</f>
        <v>5577374.29</v>
      </c>
    </row>
    <row r="8" spans="1:15" s="19" customFormat="1" ht="15" customHeight="1" x14ac:dyDescent="0.25">
      <c r="A8" s="16">
        <v>3</v>
      </c>
      <c r="B8" s="17" t="s">
        <v>12</v>
      </c>
      <c r="C8" s="18">
        <f>C9+C16+C48</f>
        <v>80796000</v>
      </c>
      <c r="D8" s="18">
        <f>D9+D16+D48</f>
        <v>955000</v>
      </c>
      <c r="E8" s="18">
        <f>E9+E16+E48</f>
        <v>2838230</v>
      </c>
      <c r="F8" s="18">
        <f>F9+F16+F48</f>
        <v>18000</v>
      </c>
      <c r="G8" s="18">
        <f>G9+G16+G48</f>
        <v>4514017</v>
      </c>
      <c r="H8" s="78">
        <f t="shared" si="1"/>
        <v>89121247</v>
      </c>
      <c r="I8" s="68">
        <f>I9+I16+I48</f>
        <v>56902781.25</v>
      </c>
      <c r="J8" s="46"/>
      <c r="K8" s="46"/>
      <c r="L8" s="46"/>
      <c r="M8" s="46">
        <v>93054628.689999998</v>
      </c>
      <c r="N8" s="46">
        <f>N9+N16+N48</f>
        <v>91896079.640000001</v>
      </c>
      <c r="O8" s="46"/>
    </row>
    <row r="9" spans="1:15" s="19" customFormat="1" ht="15" customHeight="1" x14ac:dyDescent="0.25">
      <c r="A9" s="20" t="s">
        <v>13</v>
      </c>
      <c r="B9" s="21" t="s">
        <v>14</v>
      </c>
      <c r="C9" s="22">
        <f>C10+C12+C14</f>
        <v>73538000</v>
      </c>
      <c r="D9" s="22">
        <f>D10+D12+D14</f>
        <v>890000</v>
      </c>
      <c r="E9" s="22">
        <f>E10+E12+E14</f>
        <v>2318730</v>
      </c>
      <c r="F9" s="22">
        <f t="shared" ref="F9" si="2">F10+F12+F14</f>
        <v>0</v>
      </c>
      <c r="G9" s="22">
        <f>G10+G12+G14</f>
        <v>0</v>
      </c>
      <c r="H9" s="79">
        <f t="shared" si="1"/>
        <v>76746730</v>
      </c>
      <c r="I9" s="69">
        <f>I10+I12+I14</f>
        <v>47613603.25</v>
      </c>
      <c r="J9" s="18"/>
      <c r="K9" s="18"/>
      <c r="L9" s="18"/>
      <c r="M9" s="18">
        <v>79018500</v>
      </c>
      <c r="N9" s="18">
        <f>N10+N12+N14</f>
        <v>78727452.950000003</v>
      </c>
      <c r="O9" s="18"/>
    </row>
    <row r="10" spans="1:15" s="19" customFormat="1" ht="15" customHeight="1" x14ac:dyDescent="0.25">
      <c r="A10" s="20" t="s">
        <v>15</v>
      </c>
      <c r="B10" s="21" t="s">
        <v>16</v>
      </c>
      <c r="C10" s="22">
        <f>SUM(C11)</f>
        <v>62416000</v>
      </c>
      <c r="D10" s="22">
        <f>SUM(D11)</f>
        <v>750000</v>
      </c>
      <c r="E10" s="22">
        <f>SUM(E11)</f>
        <v>1941730</v>
      </c>
      <c r="F10" s="22">
        <f t="shared" ref="F10:I10" si="3">SUM(F11)</f>
        <v>0</v>
      </c>
      <c r="G10" s="22">
        <f t="shared" si="3"/>
        <v>0</v>
      </c>
      <c r="H10" s="79">
        <f t="shared" si="1"/>
        <v>65107730</v>
      </c>
      <c r="I10" s="69">
        <f t="shared" si="3"/>
        <v>39873149.140000001</v>
      </c>
      <c r="J10" s="18"/>
      <c r="K10" s="18"/>
      <c r="L10" s="18"/>
      <c r="M10" s="18">
        <v>63991500</v>
      </c>
      <c r="N10" s="18">
        <f t="shared" ref="N10" si="4">SUM(N11)</f>
        <v>64159496.740000002</v>
      </c>
      <c r="O10" s="18"/>
    </row>
    <row r="11" spans="1:15" ht="15" customHeight="1" x14ac:dyDescent="0.25">
      <c r="A11" s="23" t="s">
        <v>17</v>
      </c>
      <c r="B11" s="24" t="s">
        <v>18</v>
      </c>
      <c r="C11" s="25">
        <v>62416000</v>
      </c>
      <c r="D11" s="25">
        <v>750000</v>
      </c>
      <c r="E11" s="25">
        <f>1872000+69730</f>
        <v>1941730</v>
      </c>
      <c r="F11" s="26">
        <v>0</v>
      </c>
      <c r="G11" s="26">
        <f>14500-14500</f>
        <v>0</v>
      </c>
      <c r="H11" s="80">
        <f t="shared" si="1"/>
        <v>65107730</v>
      </c>
      <c r="I11" s="70">
        <v>39873149.140000001</v>
      </c>
      <c r="J11" s="26"/>
      <c r="K11" s="26"/>
      <c r="L11" s="26"/>
      <c r="M11" s="26">
        <v>63991500</v>
      </c>
      <c r="N11" s="26">
        <v>64159496.740000002</v>
      </c>
      <c r="O11" s="26"/>
    </row>
    <row r="12" spans="1:15" s="19" customFormat="1" ht="15" customHeight="1" x14ac:dyDescent="0.25">
      <c r="A12" s="20">
        <v>312</v>
      </c>
      <c r="B12" s="21" t="s">
        <v>19</v>
      </c>
      <c r="C12" s="22">
        <f>SUM(C13)</f>
        <v>2000000</v>
      </c>
      <c r="D12" s="22">
        <f>SUM(D13)</f>
        <v>10000</v>
      </c>
      <c r="E12" s="22">
        <f t="shared" ref="E12:G12" si="5">SUM(E13)</f>
        <v>50000</v>
      </c>
      <c r="F12" s="22">
        <f t="shared" si="5"/>
        <v>0</v>
      </c>
      <c r="G12" s="22">
        <f t="shared" si="5"/>
        <v>0</v>
      </c>
      <c r="H12" s="79">
        <f t="shared" si="1"/>
        <v>2060000</v>
      </c>
      <c r="I12" s="69">
        <f>SUM(I13:I13)</f>
        <v>1547110.96</v>
      </c>
      <c r="J12" s="18"/>
      <c r="K12" s="18"/>
      <c r="L12" s="18"/>
      <c r="M12" s="18">
        <v>4438500</v>
      </c>
      <c r="N12" s="18">
        <f t="shared" ref="N12" si="6">SUM(N13)</f>
        <v>4836490.9000000004</v>
      </c>
      <c r="O12" s="18"/>
    </row>
    <row r="13" spans="1:15" ht="15" customHeight="1" x14ac:dyDescent="0.25">
      <c r="A13" s="23">
        <v>3121</v>
      </c>
      <c r="B13" s="24" t="s">
        <v>19</v>
      </c>
      <c r="C13" s="25">
        <v>2000000</v>
      </c>
      <c r="D13" s="25">
        <v>10000</v>
      </c>
      <c r="E13" s="25">
        <v>50000</v>
      </c>
      <c r="F13" s="26">
        <v>0</v>
      </c>
      <c r="G13" s="26">
        <v>0</v>
      </c>
      <c r="H13" s="80">
        <f t="shared" si="1"/>
        <v>2060000</v>
      </c>
      <c r="I13" s="70">
        <v>1547110.96</v>
      </c>
      <c r="J13" s="26"/>
      <c r="K13" s="26"/>
      <c r="L13" s="26"/>
      <c r="M13" s="26">
        <v>4438500</v>
      </c>
      <c r="N13" s="26">
        <v>4836490.9000000004</v>
      </c>
      <c r="O13" s="26"/>
    </row>
    <row r="14" spans="1:15" s="19" customFormat="1" ht="15" customHeight="1" x14ac:dyDescent="0.25">
      <c r="A14" s="20">
        <v>313</v>
      </c>
      <c r="B14" s="21" t="s">
        <v>20</v>
      </c>
      <c r="C14" s="22">
        <f>SUM(C15:C15)</f>
        <v>9122000</v>
      </c>
      <c r="D14" s="22">
        <f>SUM(D15:D15)</f>
        <v>130000</v>
      </c>
      <c r="E14" s="22">
        <f>SUM(E15:E15)</f>
        <v>327000</v>
      </c>
      <c r="F14" s="22">
        <f>SUM(F15:F15)</f>
        <v>0</v>
      </c>
      <c r="G14" s="22">
        <f>SUM(G15:G15)</f>
        <v>0</v>
      </c>
      <c r="H14" s="79">
        <f t="shared" si="1"/>
        <v>9579000</v>
      </c>
      <c r="I14" s="69">
        <f>SUM(I15:I15)</f>
        <v>6193343.1500000004</v>
      </c>
      <c r="J14" s="18"/>
      <c r="K14" s="18"/>
      <c r="L14" s="18"/>
      <c r="M14" s="18">
        <v>10588500</v>
      </c>
      <c r="N14" s="18">
        <f>SUM(N15:N15)</f>
        <v>9731465.3100000005</v>
      </c>
      <c r="O14" s="18"/>
    </row>
    <row r="15" spans="1:15" ht="15" customHeight="1" x14ac:dyDescent="0.25">
      <c r="A15" s="23" t="s">
        <v>21</v>
      </c>
      <c r="B15" s="24" t="s">
        <v>22</v>
      </c>
      <c r="C15" s="26">
        <v>9122000</v>
      </c>
      <c r="D15" s="25">
        <v>130000</v>
      </c>
      <c r="E15" s="25">
        <f>312000+15000</f>
        <v>327000</v>
      </c>
      <c r="F15" s="26">
        <v>0</v>
      </c>
      <c r="G15" s="26">
        <f>2500-2500</f>
        <v>0</v>
      </c>
      <c r="H15" s="80">
        <f t="shared" si="1"/>
        <v>9579000</v>
      </c>
      <c r="I15" s="70">
        <f>6193591.91-248.76</f>
        <v>6193343.1500000004</v>
      </c>
      <c r="J15" s="26"/>
      <c r="K15" s="26"/>
      <c r="L15" s="26"/>
      <c r="M15" s="26">
        <v>10588500</v>
      </c>
      <c r="N15" s="26">
        <v>9731465.3100000005</v>
      </c>
      <c r="O15" s="26"/>
    </row>
    <row r="16" spans="1:15" s="19" customFormat="1" ht="15" customHeight="1" x14ac:dyDescent="0.25">
      <c r="A16" s="20" t="s">
        <v>23</v>
      </c>
      <c r="B16" s="21" t="s">
        <v>24</v>
      </c>
      <c r="C16" s="22">
        <f>C17+C22+C29+C41+C39</f>
        <v>7251000</v>
      </c>
      <c r="D16" s="22">
        <f t="shared" ref="D16:G16" si="7">D17+D22+D29+D41+D39</f>
        <v>65000</v>
      </c>
      <c r="E16" s="22">
        <f t="shared" si="7"/>
        <v>508000</v>
      </c>
      <c r="F16" s="22">
        <f t="shared" si="7"/>
        <v>18000</v>
      </c>
      <c r="G16" s="22">
        <f t="shared" si="7"/>
        <v>4403017</v>
      </c>
      <c r="H16" s="79">
        <f t="shared" si="1"/>
        <v>12245017</v>
      </c>
      <c r="I16" s="69">
        <f>I17+I22+I29+I41</f>
        <v>9207406.5399999991</v>
      </c>
      <c r="J16" s="18"/>
      <c r="K16" s="42"/>
      <c r="L16" s="42"/>
      <c r="M16" s="43">
        <v>13873128.689999999</v>
      </c>
      <c r="N16" s="22">
        <f>N17+N22+N29+N41</f>
        <v>13034939.119999999</v>
      </c>
      <c r="O16" s="22">
        <f>O17+O22+O29+O41</f>
        <v>5468869.0499999998</v>
      </c>
    </row>
    <row r="17" spans="1:15" s="19" customFormat="1" ht="15" customHeight="1" x14ac:dyDescent="0.25">
      <c r="A17" s="20">
        <v>321</v>
      </c>
      <c r="B17" s="21" t="s">
        <v>25</v>
      </c>
      <c r="C17" s="22">
        <f>SUM(C18:C21)</f>
        <v>2328000</v>
      </c>
      <c r="D17" s="22">
        <f t="shared" ref="D17:I17" si="8">SUM(D18:D21)</f>
        <v>15000</v>
      </c>
      <c r="E17" s="22">
        <f t="shared" si="8"/>
        <v>94000</v>
      </c>
      <c r="F17" s="22">
        <f t="shared" si="8"/>
        <v>0</v>
      </c>
      <c r="G17" s="22">
        <f t="shared" si="8"/>
        <v>80000</v>
      </c>
      <c r="H17" s="79">
        <f>SUM(H18:H21)</f>
        <v>2517000</v>
      </c>
      <c r="I17" s="69">
        <f t="shared" si="8"/>
        <v>1887395.2899999998</v>
      </c>
      <c r="J17" s="18"/>
      <c r="K17" s="42"/>
      <c r="L17" s="42"/>
      <c r="M17" s="43">
        <v>2596120</v>
      </c>
      <c r="N17" s="22">
        <f t="shared" ref="N17" si="9">SUM(N18:N21)</f>
        <v>2602697.96</v>
      </c>
      <c r="O17" s="22">
        <f>SUM(O18:O21)</f>
        <v>220044.63</v>
      </c>
    </row>
    <row r="18" spans="1:15" ht="15" customHeight="1" x14ac:dyDescent="0.25">
      <c r="A18" s="23" t="s">
        <v>26</v>
      </c>
      <c r="B18" s="24" t="s">
        <v>27</v>
      </c>
      <c r="C18" s="26">
        <v>0</v>
      </c>
      <c r="D18" s="26">
        <v>10000</v>
      </c>
      <c r="E18" s="26">
        <v>2000</v>
      </c>
      <c r="F18" s="26">
        <v>0</v>
      </c>
      <c r="G18" s="25">
        <f>130000-100000</f>
        <v>30000</v>
      </c>
      <c r="H18" s="81">
        <f>SUM(C18:G18)</f>
        <v>42000</v>
      </c>
      <c r="I18" s="71">
        <v>83166.16</v>
      </c>
      <c r="J18" s="26">
        <v>73511.53</v>
      </c>
      <c r="K18" s="26">
        <f>G18-J18</f>
        <v>-43511.53</v>
      </c>
      <c r="L18" s="26">
        <f>H18-I18</f>
        <v>-41166.160000000003</v>
      </c>
      <c r="M18" s="26">
        <v>136000</v>
      </c>
      <c r="N18" s="26">
        <v>148492.38</v>
      </c>
      <c r="O18" s="26">
        <v>130079.13</v>
      </c>
    </row>
    <row r="19" spans="1:15" ht="15" customHeight="1" x14ac:dyDescent="0.25">
      <c r="A19" s="23">
        <v>3212</v>
      </c>
      <c r="B19" s="24" t="s">
        <v>28</v>
      </c>
      <c r="C19" s="26">
        <v>2327000</v>
      </c>
      <c r="D19" s="26">
        <v>0</v>
      </c>
      <c r="E19" s="26">
        <v>90000</v>
      </c>
      <c r="F19" s="26">
        <v>0</v>
      </c>
      <c r="G19" s="26">
        <v>0</v>
      </c>
      <c r="H19" s="80">
        <f>SUM(C19:G19)</f>
        <v>2417000</v>
      </c>
      <c r="I19" s="70">
        <v>1750216.63</v>
      </c>
      <c r="J19" s="26"/>
      <c r="K19" s="26">
        <f>G19-J19</f>
        <v>0</v>
      </c>
      <c r="L19" s="26">
        <f>H19-I19</f>
        <v>666783.37000000011</v>
      </c>
      <c r="M19" s="26">
        <v>2364120</v>
      </c>
      <c r="N19" s="26">
        <v>2356088.58</v>
      </c>
      <c r="O19" s="26"/>
    </row>
    <row r="20" spans="1:15" ht="15" customHeight="1" x14ac:dyDescent="0.25">
      <c r="A20" s="23" t="s">
        <v>29</v>
      </c>
      <c r="B20" s="24" t="s">
        <v>30</v>
      </c>
      <c r="C20" s="26">
        <v>1000</v>
      </c>
      <c r="D20" s="26">
        <v>5000</v>
      </c>
      <c r="E20" s="26">
        <v>2000</v>
      </c>
      <c r="F20" s="26">
        <v>0</v>
      </c>
      <c r="G20" s="25">
        <f>91000-41000</f>
        <v>50000</v>
      </c>
      <c r="H20" s="80">
        <f>SUM(C20:G20)</f>
        <v>58000</v>
      </c>
      <c r="I20" s="70">
        <v>54012.5</v>
      </c>
      <c r="J20" s="26">
        <v>53412.5</v>
      </c>
      <c r="K20" s="26">
        <f>G20-J20</f>
        <v>-3412.5</v>
      </c>
      <c r="L20" s="26">
        <f>H20-I20</f>
        <v>3987.5</v>
      </c>
      <c r="M20" s="26">
        <v>96000</v>
      </c>
      <c r="N20" s="26">
        <v>97873</v>
      </c>
      <c r="O20" s="26">
        <v>89721.5</v>
      </c>
    </row>
    <row r="21" spans="1:15" ht="15" customHeight="1" x14ac:dyDescent="0.25">
      <c r="A21" s="23">
        <v>3214</v>
      </c>
      <c r="B21" s="24" t="s">
        <v>31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80">
        <f t="shared" ref="H21:H82" si="10">SUM(C21:G21)</f>
        <v>0</v>
      </c>
      <c r="I21" s="70">
        <v>0</v>
      </c>
      <c r="J21" s="26"/>
      <c r="K21" s="26"/>
      <c r="L21" s="26"/>
      <c r="M21" s="26">
        <v>0</v>
      </c>
      <c r="N21" s="26">
        <v>244</v>
      </c>
      <c r="O21" s="26">
        <v>244</v>
      </c>
    </row>
    <row r="22" spans="1:15" s="19" customFormat="1" ht="15" customHeight="1" x14ac:dyDescent="0.25">
      <c r="A22" s="20">
        <v>322</v>
      </c>
      <c r="B22" s="21" t="s">
        <v>32</v>
      </c>
      <c r="C22" s="22">
        <f>SUM(C23:C28)</f>
        <v>2755000</v>
      </c>
      <c r="D22" s="22">
        <f>SUM(D23:D28)</f>
        <v>11000</v>
      </c>
      <c r="E22" s="22">
        <f>SUM(E23:E28)</f>
        <v>165500</v>
      </c>
      <c r="F22" s="22">
        <f t="shared" ref="F22:G22" si="11">SUM(F23:F28)</f>
        <v>18000</v>
      </c>
      <c r="G22" s="22">
        <f t="shared" si="11"/>
        <v>863000</v>
      </c>
      <c r="H22" s="79">
        <f>SUM(C22:G22)</f>
        <v>3812500</v>
      </c>
      <c r="I22" s="69">
        <f>SUM(I23:I28)</f>
        <v>2226437.0499999998</v>
      </c>
      <c r="J22" s="18"/>
      <c r="K22" s="42"/>
      <c r="L22" s="42"/>
      <c r="M22" s="43">
        <v>4281400</v>
      </c>
      <c r="N22" s="22">
        <f t="shared" ref="N22" si="12">SUM(N23:N28)</f>
        <v>4033425.69</v>
      </c>
      <c r="O22" s="22">
        <f>SUM(O23:O28)</f>
        <v>1069573.79</v>
      </c>
    </row>
    <row r="23" spans="1:15" ht="15" customHeight="1" x14ac:dyDescent="0.25">
      <c r="A23" s="27">
        <v>3221</v>
      </c>
      <c r="B23" s="28" t="s">
        <v>33</v>
      </c>
      <c r="C23" s="25">
        <v>175000</v>
      </c>
      <c r="D23" s="25">
        <v>5000</v>
      </c>
      <c r="E23" s="25">
        <v>30000</v>
      </c>
      <c r="F23" s="25">
        <f>2000+5000</f>
        <v>7000</v>
      </c>
      <c r="G23" s="25">
        <f>250000+63000</f>
        <v>313000</v>
      </c>
      <c r="H23" s="81">
        <f t="shared" si="10"/>
        <v>530000</v>
      </c>
      <c r="I23" s="71">
        <v>247641.05</v>
      </c>
      <c r="J23" s="26">
        <f>7278+35146.87</f>
        <v>42424.87</v>
      </c>
      <c r="K23" s="26">
        <f t="shared" ref="K23:K28" si="13">G23-J23</f>
        <v>270575.13</v>
      </c>
      <c r="L23" s="26">
        <f t="shared" ref="L23:L28" si="14">H23-I23</f>
        <v>282358.95</v>
      </c>
      <c r="M23" s="26">
        <v>533000</v>
      </c>
      <c r="N23" s="26">
        <v>470168.58</v>
      </c>
      <c r="O23" s="26">
        <v>210901.38</v>
      </c>
    </row>
    <row r="24" spans="1:15" ht="15" customHeight="1" x14ac:dyDescent="0.25">
      <c r="A24" s="27" t="s">
        <v>34</v>
      </c>
      <c r="B24" s="28" t="s">
        <v>35</v>
      </c>
      <c r="C24" s="25">
        <v>57000</v>
      </c>
      <c r="D24" s="25">
        <v>6000</v>
      </c>
      <c r="E24" s="25">
        <v>15000</v>
      </c>
      <c r="F24" s="25">
        <v>0</v>
      </c>
      <c r="G24" s="25">
        <f>550000-250000</f>
        <v>300000</v>
      </c>
      <c r="H24" s="81">
        <f t="shared" si="10"/>
        <v>378000</v>
      </c>
      <c r="I24" s="71">
        <v>255727.93</v>
      </c>
      <c r="J24" s="26">
        <f>179814.11+1938.75</f>
        <v>181752.86</v>
      </c>
      <c r="K24" s="60">
        <f t="shared" si="13"/>
        <v>118247.14000000001</v>
      </c>
      <c r="L24" s="26">
        <f t="shared" si="14"/>
        <v>122272.07</v>
      </c>
      <c r="M24" s="26">
        <v>686000</v>
      </c>
      <c r="N24" s="26">
        <v>709473.98</v>
      </c>
      <c r="O24" s="26">
        <v>620201.86</v>
      </c>
    </row>
    <row r="25" spans="1:15" ht="15" customHeight="1" x14ac:dyDescent="0.25">
      <c r="A25" s="27" t="s">
        <v>36</v>
      </c>
      <c r="B25" s="28" t="s">
        <v>37</v>
      </c>
      <c r="C25" s="25">
        <v>2500000</v>
      </c>
      <c r="D25" s="25">
        <v>0</v>
      </c>
      <c r="E25" s="25">
        <v>118500</v>
      </c>
      <c r="F25" s="25">
        <v>0</v>
      </c>
      <c r="G25" s="25">
        <v>0</v>
      </c>
      <c r="H25" s="81">
        <f t="shared" si="10"/>
        <v>2618500</v>
      </c>
      <c r="I25" s="71">
        <v>1614378.42</v>
      </c>
      <c r="J25" s="26"/>
      <c r="K25" s="26">
        <f t="shared" si="13"/>
        <v>0</v>
      </c>
      <c r="L25" s="26">
        <f t="shared" si="14"/>
        <v>1004121.5800000001</v>
      </c>
      <c r="M25" s="26">
        <v>2749800</v>
      </c>
      <c r="N25" s="26">
        <v>2573082.83</v>
      </c>
      <c r="O25" s="26"/>
    </row>
    <row r="26" spans="1:15" ht="15" customHeight="1" x14ac:dyDescent="0.25">
      <c r="A26" s="27" t="s">
        <v>38</v>
      </c>
      <c r="B26" s="28" t="s">
        <v>39</v>
      </c>
      <c r="C26" s="25">
        <v>18000</v>
      </c>
      <c r="D26" s="25">
        <v>0</v>
      </c>
      <c r="E26" s="25">
        <v>0</v>
      </c>
      <c r="F26" s="25">
        <v>0</v>
      </c>
      <c r="G26" s="25">
        <v>200000</v>
      </c>
      <c r="H26" s="81">
        <f>SUM(C26:G26)</f>
        <v>218000</v>
      </c>
      <c r="I26" s="71">
        <v>77898.14</v>
      </c>
      <c r="J26" s="26">
        <f>51877.12+1361.82</f>
        <v>53238.94</v>
      </c>
      <c r="K26" s="26">
        <f t="shared" si="13"/>
        <v>146761.06</v>
      </c>
      <c r="L26" s="26">
        <f t="shared" si="14"/>
        <v>140101.85999999999</v>
      </c>
      <c r="M26" s="26">
        <v>209100</v>
      </c>
      <c r="N26" s="26">
        <v>220297.94</v>
      </c>
      <c r="O26" s="26">
        <v>201380.94</v>
      </c>
    </row>
    <row r="27" spans="1:15" ht="15" customHeight="1" x14ac:dyDescent="0.25">
      <c r="A27" s="23" t="s">
        <v>40</v>
      </c>
      <c r="B27" s="24" t="s">
        <v>41</v>
      </c>
      <c r="C27" s="26">
        <v>5000</v>
      </c>
      <c r="D27" s="26">
        <v>0</v>
      </c>
      <c r="E27" s="26">
        <v>1000</v>
      </c>
      <c r="F27" s="25">
        <f>8500+2500</f>
        <v>11000</v>
      </c>
      <c r="G27" s="26">
        <f>40000-13000</f>
        <v>27000</v>
      </c>
      <c r="H27" s="80">
        <f t="shared" si="10"/>
        <v>44000</v>
      </c>
      <c r="I27" s="70">
        <v>18054.009999999998</v>
      </c>
      <c r="J27" s="26">
        <f>5085.28+3356.29</f>
        <v>8441.57</v>
      </c>
      <c r="K27" s="60">
        <f t="shared" si="13"/>
        <v>18558.43</v>
      </c>
      <c r="L27" s="26">
        <f t="shared" si="14"/>
        <v>25945.99</v>
      </c>
      <c r="M27" s="26">
        <v>91500</v>
      </c>
      <c r="N27" s="26">
        <v>57428.57</v>
      </c>
      <c r="O27" s="26">
        <v>34115.82</v>
      </c>
    </row>
    <row r="28" spans="1:15" ht="15" customHeight="1" x14ac:dyDescent="0.25">
      <c r="A28" s="23">
        <v>3227</v>
      </c>
      <c r="B28" s="24" t="s">
        <v>42</v>
      </c>
      <c r="C28" s="26">
        <v>0</v>
      </c>
      <c r="D28" s="26">
        <v>0</v>
      </c>
      <c r="E28" s="26">
        <v>1000</v>
      </c>
      <c r="F28" s="26">
        <v>0</v>
      </c>
      <c r="G28" s="26">
        <f>10000+13000</f>
        <v>23000</v>
      </c>
      <c r="H28" s="80">
        <f t="shared" si="10"/>
        <v>24000</v>
      </c>
      <c r="I28" s="70">
        <v>12737.5</v>
      </c>
      <c r="J28" s="49">
        <v>12737.5</v>
      </c>
      <c r="K28" s="61">
        <f t="shared" si="13"/>
        <v>10262.5</v>
      </c>
      <c r="L28" s="26">
        <f t="shared" si="14"/>
        <v>11262.5</v>
      </c>
      <c r="M28" s="26">
        <v>12000</v>
      </c>
      <c r="N28" s="26">
        <v>2973.79</v>
      </c>
      <c r="O28" s="26">
        <v>2973.79</v>
      </c>
    </row>
    <row r="29" spans="1:15" s="19" customFormat="1" ht="15" customHeight="1" x14ac:dyDescent="0.25">
      <c r="A29" s="20" t="s">
        <v>43</v>
      </c>
      <c r="B29" s="21" t="s">
        <v>44</v>
      </c>
      <c r="C29" s="22">
        <f>SUM(C30:C40)</f>
        <v>1950000</v>
      </c>
      <c r="D29" s="22">
        <f>SUM(D30:D38)</f>
        <v>9000</v>
      </c>
      <c r="E29" s="22">
        <f>SUM(E30:E38)</f>
        <v>227500</v>
      </c>
      <c r="F29" s="22">
        <f t="shared" ref="F29" si="15">SUM(F30:F38)</f>
        <v>0</v>
      </c>
      <c r="G29" s="22">
        <f>SUM(G30:G38)</f>
        <v>3195017</v>
      </c>
      <c r="H29" s="79">
        <f>SUM(C29:G29)</f>
        <v>5381517</v>
      </c>
      <c r="I29" s="69">
        <f>SUM(I30:I40)</f>
        <v>4710631.0999999996</v>
      </c>
      <c r="J29" s="18"/>
      <c r="K29" s="42"/>
      <c r="L29" s="42"/>
      <c r="M29" s="43">
        <v>6505684.6399999997</v>
      </c>
      <c r="N29" s="22">
        <f>SUM(N30:N38)</f>
        <v>5897822.7699999996</v>
      </c>
      <c r="O29" s="22">
        <f>SUM(O30:O38)</f>
        <v>3894882.1599999997</v>
      </c>
    </row>
    <row r="30" spans="1:15" ht="15" customHeight="1" x14ac:dyDescent="0.25">
      <c r="A30" s="23" t="s">
        <v>45</v>
      </c>
      <c r="B30" s="24" t="s">
        <v>46</v>
      </c>
      <c r="C30" s="29">
        <v>61000</v>
      </c>
      <c r="D30" s="26">
        <v>8000</v>
      </c>
      <c r="E30" s="26">
        <v>30000</v>
      </c>
      <c r="F30" s="26">
        <v>0</v>
      </c>
      <c r="G30" s="26">
        <f>580000+50000</f>
        <v>630000</v>
      </c>
      <c r="H30" s="80">
        <f t="shared" si="10"/>
        <v>729000</v>
      </c>
      <c r="I30" s="70">
        <v>538770.52</v>
      </c>
      <c r="J30" s="26">
        <v>406224.54</v>
      </c>
      <c r="K30" s="26">
        <f t="shared" ref="K30:K38" si="16">G30-J30</f>
        <v>223775.46000000002</v>
      </c>
      <c r="L30" s="26">
        <f t="shared" ref="L30:L38" si="17">H30-I30</f>
        <v>190229.47999999998</v>
      </c>
      <c r="M30" s="26">
        <v>895000</v>
      </c>
      <c r="N30" s="26">
        <v>695523.82</v>
      </c>
      <c r="O30" s="26">
        <v>604137.26</v>
      </c>
    </row>
    <row r="31" spans="1:15" s="62" customFormat="1" ht="15" customHeight="1" x14ac:dyDescent="0.25">
      <c r="A31" s="27" t="s">
        <v>47</v>
      </c>
      <c r="B31" s="28" t="s">
        <v>48</v>
      </c>
      <c r="C31" s="30">
        <v>127000</v>
      </c>
      <c r="D31" s="25">
        <v>0</v>
      </c>
      <c r="E31" s="25">
        <v>57500</v>
      </c>
      <c r="F31" s="25">
        <v>0</v>
      </c>
      <c r="G31" s="25">
        <f>880000-330000</f>
        <v>550000</v>
      </c>
      <c r="H31" s="81">
        <f t="shared" si="10"/>
        <v>734500</v>
      </c>
      <c r="I31" s="71">
        <v>633682.05000000005</v>
      </c>
      <c r="J31" s="25">
        <v>478499.1</v>
      </c>
      <c r="K31" s="25">
        <f t="shared" si="16"/>
        <v>71500.900000000023</v>
      </c>
      <c r="L31" s="25">
        <f t="shared" si="17"/>
        <v>100817.94999999995</v>
      </c>
      <c r="M31" s="25">
        <v>1562774.64</v>
      </c>
      <c r="N31" s="25">
        <v>1418434.35</v>
      </c>
      <c r="O31" s="25">
        <v>1201921.6499999999</v>
      </c>
    </row>
    <row r="32" spans="1:15" ht="15" customHeight="1" x14ac:dyDescent="0.25">
      <c r="A32" s="27">
        <v>3233</v>
      </c>
      <c r="B32" s="28" t="s">
        <v>49</v>
      </c>
      <c r="C32" s="30">
        <v>0</v>
      </c>
      <c r="D32" s="25">
        <v>0</v>
      </c>
      <c r="E32" s="25">
        <v>0</v>
      </c>
      <c r="F32" s="25">
        <v>0</v>
      </c>
      <c r="G32" s="25">
        <v>10000</v>
      </c>
      <c r="H32" s="80">
        <f t="shared" si="10"/>
        <v>10000</v>
      </c>
      <c r="I32" s="70">
        <v>4230.37</v>
      </c>
      <c r="J32" s="26">
        <v>4230.37</v>
      </c>
      <c r="K32" s="26">
        <f t="shared" si="16"/>
        <v>5769.63</v>
      </c>
      <c r="L32" s="26">
        <f t="shared" si="17"/>
        <v>5769.63</v>
      </c>
      <c r="M32" s="26">
        <v>20000</v>
      </c>
      <c r="N32" s="26">
        <v>7130.37</v>
      </c>
      <c r="O32" s="26">
        <v>7130.37</v>
      </c>
    </row>
    <row r="33" spans="1:15" ht="15" customHeight="1" x14ac:dyDescent="0.25">
      <c r="A33" s="27" t="s">
        <v>50</v>
      </c>
      <c r="B33" s="28" t="s">
        <v>51</v>
      </c>
      <c r="C33" s="30">
        <v>992000</v>
      </c>
      <c r="D33" s="25">
        <v>0</v>
      </c>
      <c r="E33" s="25">
        <v>65000</v>
      </c>
      <c r="F33" s="25">
        <v>0</v>
      </c>
      <c r="G33" s="25">
        <v>230000</v>
      </c>
      <c r="H33" s="80">
        <f t="shared" si="10"/>
        <v>1287000</v>
      </c>
      <c r="I33" s="70">
        <v>767572.96</v>
      </c>
      <c r="J33" s="26">
        <v>1775.35</v>
      </c>
      <c r="K33" s="26">
        <f t="shared" si="16"/>
        <v>228224.65</v>
      </c>
      <c r="L33" s="26">
        <f t="shared" si="17"/>
        <v>519427.04000000004</v>
      </c>
      <c r="M33" s="26">
        <v>989770</v>
      </c>
      <c r="N33" s="26">
        <v>1126414.46</v>
      </c>
      <c r="O33" s="26">
        <v>204327.15</v>
      </c>
    </row>
    <row r="34" spans="1:15" ht="15" customHeight="1" x14ac:dyDescent="0.25">
      <c r="A34" s="27" t="s">
        <v>52</v>
      </c>
      <c r="B34" s="28" t="s">
        <v>53</v>
      </c>
      <c r="C34" s="30">
        <v>360000</v>
      </c>
      <c r="D34" s="25">
        <v>0</v>
      </c>
      <c r="E34" s="25">
        <v>7000</v>
      </c>
      <c r="F34" s="25">
        <v>0</v>
      </c>
      <c r="G34" s="25">
        <v>200000</v>
      </c>
      <c r="H34" s="80">
        <f t="shared" si="10"/>
        <v>567000</v>
      </c>
      <c r="I34" s="70">
        <v>1386750.59</v>
      </c>
      <c r="J34" s="49">
        <f>919135.86+51467.59</f>
        <v>970603.45</v>
      </c>
      <c r="K34" s="26">
        <f t="shared" si="16"/>
        <v>-770603.45</v>
      </c>
      <c r="L34" s="26">
        <f t="shared" si="17"/>
        <v>-819750.59000000008</v>
      </c>
      <c r="M34" s="26">
        <v>985000</v>
      </c>
      <c r="N34" s="26">
        <v>601212.86</v>
      </c>
      <c r="O34" s="26">
        <v>193995.25</v>
      </c>
    </row>
    <row r="35" spans="1:15" ht="15" customHeight="1" x14ac:dyDescent="0.25">
      <c r="A35" s="27">
        <v>3236</v>
      </c>
      <c r="B35" s="28" t="s">
        <v>54</v>
      </c>
      <c r="C35" s="30">
        <v>0</v>
      </c>
      <c r="D35" s="25">
        <v>0</v>
      </c>
      <c r="E35" s="25">
        <v>5000</v>
      </c>
      <c r="F35" s="25">
        <v>0</v>
      </c>
      <c r="G35" s="25">
        <v>20000</v>
      </c>
      <c r="H35" s="80">
        <f t="shared" si="10"/>
        <v>25000</v>
      </c>
      <c r="I35" s="70">
        <v>131424.25</v>
      </c>
      <c r="J35" s="26">
        <v>128635.05</v>
      </c>
      <c r="K35" s="26">
        <f t="shared" si="16"/>
        <v>-108635.05</v>
      </c>
      <c r="L35" s="26">
        <f t="shared" si="17"/>
        <v>-106424.25</v>
      </c>
      <c r="M35" s="26">
        <v>150000</v>
      </c>
      <c r="N35" s="26">
        <v>144444.70000000001</v>
      </c>
      <c r="O35" s="26">
        <v>144444.70000000001</v>
      </c>
    </row>
    <row r="36" spans="1:15" ht="15" customHeight="1" x14ac:dyDescent="0.25">
      <c r="A36" s="27" t="s">
        <v>55</v>
      </c>
      <c r="B36" s="28" t="s">
        <v>56</v>
      </c>
      <c r="C36" s="30">
        <v>190000</v>
      </c>
      <c r="D36" s="25">
        <v>1000</v>
      </c>
      <c r="E36" s="25">
        <v>1000</v>
      </c>
      <c r="F36" s="25">
        <v>0</v>
      </c>
      <c r="G36" s="25">
        <v>20000</v>
      </c>
      <c r="H36" s="80">
        <f t="shared" si="10"/>
        <v>212000</v>
      </c>
      <c r="I36" s="70">
        <v>53050</v>
      </c>
      <c r="J36" s="50">
        <v>52500</v>
      </c>
      <c r="K36" s="49">
        <f t="shared" si="16"/>
        <v>-32500</v>
      </c>
      <c r="L36" s="26">
        <f t="shared" si="17"/>
        <v>158950</v>
      </c>
      <c r="M36" s="26">
        <v>157000</v>
      </c>
      <c r="N36" s="26">
        <v>74277.320000000007</v>
      </c>
      <c r="O36" s="26">
        <v>9998.15</v>
      </c>
    </row>
    <row r="37" spans="1:15" x14ac:dyDescent="0.25">
      <c r="A37" s="27" t="s">
        <v>57</v>
      </c>
      <c r="B37" s="28" t="s">
        <v>58</v>
      </c>
      <c r="C37" s="30">
        <v>220000</v>
      </c>
      <c r="D37" s="25">
        <v>0</v>
      </c>
      <c r="E37" s="25">
        <v>32000</v>
      </c>
      <c r="F37" s="25">
        <v>0</v>
      </c>
      <c r="G37" s="63">
        <v>740000</v>
      </c>
      <c r="H37" s="80">
        <f t="shared" si="10"/>
        <v>992000</v>
      </c>
      <c r="I37" s="70">
        <v>660078.88</v>
      </c>
      <c r="J37" s="51">
        <v>343421.27</v>
      </c>
      <c r="K37" s="51">
        <f t="shared" si="16"/>
        <v>396578.73</v>
      </c>
      <c r="L37" s="26">
        <f t="shared" si="17"/>
        <v>331921.12</v>
      </c>
      <c r="M37" s="26">
        <v>961140</v>
      </c>
      <c r="N37" s="26">
        <v>1013490.25</v>
      </c>
      <c r="O37" s="26">
        <v>722340.94</v>
      </c>
    </row>
    <row r="38" spans="1:15" ht="15" customHeight="1" x14ac:dyDescent="0.25">
      <c r="A38" s="27" t="s">
        <v>59</v>
      </c>
      <c r="B38" s="28" t="s">
        <v>60</v>
      </c>
      <c r="C38" s="30">
        <v>0</v>
      </c>
      <c r="D38" s="25">
        <v>0</v>
      </c>
      <c r="E38" s="25">
        <v>30000</v>
      </c>
      <c r="F38" s="25">
        <v>0</v>
      </c>
      <c r="G38" s="25">
        <v>795017</v>
      </c>
      <c r="H38" s="80">
        <f>SUM(C38:G38)</f>
        <v>825017</v>
      </c>
      <c r="I38" s="70">
        <v>534511.48</v>
      </c>
      <c r="J38" s="26">
        <v>524486.61</v>
      </c>
      <c r="K38" s="51">
        <f t="shared" si="16"/>
        <v>270530.39</v>
      </c>
      <c r="L38" s="26">
        <f t="shared" si="17"/>
        <v>290505.52</v>
      </c>
      <c r="M38" s="26">
        <v>785000</v>
      </c>
      <c r="N38" s="26">
        <v>816894.64</v>
      </c>
      <c r="O38" s="26">
        <v>806586.69</v>
      </c>
    </row>
    <row r="39" spans="1:15" s="19" customFormat="1" ht="15" customHeight="1" x14ac:dyDescent="0.25">
      <c r="A39" s="20">
        <v>324</v>
      </c>
      <c r="B39" s="21" t="s">
        <v>115</v>
      </c>
      <c r="C39" s="22">
        <f>C40</f>
        <v>0</v>
      </c>
      <c r="D39" s="22">
        <f t="shared" ref="D39:G39" si="18">D40</f>
        <v>0</v>
      </c>
      <c r="E39" s="22">
        <f t="shared" si="18"/>
        <v>0</v>
      </c>
      <c r="F39" s="22">
        <f t="shared" si="18"/>
        <v>0</v>
      </c>
      <c r="G39" s="22">
        <f t="shared" si="18"/>
        <v>0</v>
      </c>
      <c r="H39" s="79">
        <f>SUM(C39:G39)</f>
        <v>0</v>
      </c>
      <c r="I39" s="69"/>
      <c r="J39" s="18"/>
      <c r="K39" s="42"/>
      <c r="L39" s="42"/>
      <c r="M39" s="43"/>
      <c r="N39" s="22"/>
      <c r="O39" s="22"/>
    </row>
    <row r="40" spans="1:15" ht="15" customHeight="1" x14ac:dyDescent="0.25">
      <c r="A40" s="27">
        <v>3241</v>
      </c>
      <c r="B40" s="28" t="s">
        <v>79</v>
      </c>
      <c r="C40" s="30">
        <v>0</v>
      </c>
      <c r="D40" s="25">
        <v>0</v>
      </c>
      <c r="E40" s="25">
        <v>0</v>
      </c>
      <c r="F40" s="25"/>
      <c r="G40" s="25"/>
      <c r="H40" s="80">
        <f>SUM(C40:G40)</f>
        <v>0</v>
      </c>
      <c r="I40" s="70">
        <v>560</v>
      </c>
      <c r="J40" s="26"/>
      <c r="K40" s="29"/>
      <c r="L40" s="29"/>
      <c r="M40" s="29"/>
      <c r="N40" s="26"/>
      <c r="O40" s="26"/>
    </row>
    <row r="41" spans="1:15" s="19" customFormat="1" ht="15" customHeight="1" x14ac:dyDescent="0.25">
      <c r="A41" s="20" t="s">
        <v>61</v>
      </c>
      <c r="B41" s="21" t="s">
        <v>62</v>
      </c>
      <c r="C41" s="22">
        <f>SUM(C42:C47)</f>
        <v>218000</v>
      </c>
      <c r="D41" s="22">
        <f t="shared" ref="D41:G41" si="19">SUM(D42:D47)</f>
        <v>30000</v>
      </c>
      <c r="E41" s="22">
        <f t="shared" si="19"/>
        <v>21000</v>
      </c>
      <c r="F41" s="22">
        <f t="shared" si="19"/>
        <v>0</v>
      </c>
      <c r="G41" s="22">
        <f t="shared" si="19"/>
        <v>265000</v>
      </c>
      <c r="H41" s="79">
        <f>SUM(C41:G41)</f>
        <v>534000</v>
      </c>
      <c r="I41" s="69">
        <f>SUM(I42:I47)</f>
        <v>382943.1</v>
      </c>
      <c r="J41" s="18"/>
      <c r="K41" s="42"/>
      <c r="L41" s="42"/>
      <c r="M41" s="43">
        <v>489924.05</v>
      </c>
      <c r="N41" s="22">
        <f t="shared" ref="N41" si="20">SUM(N42:N47)</f>
        <v>500992.69999999995</v>
      </c>
      <c r="O41" s="22">
        <f>SUM(O42:O47)</f>
        <v>284368.47000000003</v>
      </c>
    </row>
    <row r="42" spans="1:15" ht="15" customHeight="1" x14ac:dyDescent="0.25">
      <c r="A42" s="23" t="s">
        <v>63</v>
      </c>
      <c r="B42" s="24" t="s">
        <v>64</v>
      </c>
      <c r="C42" s="26">
        <v>24000</v>
      </c>
      <c r="D42" s="26">
        <v>0</v>
      </c>
      <c r="E42" s="26">
        <v>0</v>
      </c>
      <c r="F42" s="26">
        <v>0</v>
      </c>
      <c r="G42" s="26">
        <v>0</v>
      </c>
      <c r="H42" s="80">
        <f t="shared" si="10"/>
        <v>24000</v>
      </c>
      <c r="I42" s="70">
        <v>18392.36</v>
      </c>
      <c r="J42" s="49">
        <v>560</v>
      </c>
      <c r="K42" s="51">
        <f t="shared" ref="K42:K47" si="21">G42-J42</f>
        <v>-560</v>
      </c>
      <c r="L42" s="51">
        <f t="shared" ref="L42:L47" si="22">H42-I42</f>
        <v>5607.6399999999994</v>
      </c>
      <c r="M42" s="26">
        <v>27515.97</v>
      </c>
      <c r="N42" s="26">
        <v>26920.83</v>
      </c>
      <c r="O42" s="26">
        <v>0</v>
      </c>
    </row>
    <row r="43" spans="1:15" ht="15" customHeight="1" x14ac:dyDescent="0.25">
      <c r="A43" s="23" t="s">
        <v>65</v>
      </c>
      <c r="B43" s="24" t="s">
        <v>66</v>
      </c>
      <c r="C43" s="25">
        <v>180000</v>
      </c>
      <c r="D43" s="26">
        <v>0</v>
      </c>
      <c r="E43" s="26">
        <v>7000</v>
      </c>
      <c r="F43" s="26">
        <v>0</v>
      </c>
      <c r="G43" s="26">
        <v>31000</v>
      </c>
      <c r="H43" s="80">
        <f t="shared" si="10"/>
        <v>218000</v>
      </c>
      <c r="I43" s="70">
        <v>168805.26</v>
      </c>
      <c r="J43" s="26">
        <v>18038.310000000001</v>
      </c>
      <c r="K43" s="51">
        <f t="shared" si="21"/>
        <v>12961.689999999999</v>
      </c>
      <c r="L43" s="51">
        <f t="shared" si="22"/>
        <v>49194.739999999991</v>
      </c>
      <c r="M43" s="26">
        <v>154408.07999999999</v>
      </c>
      <c r="N43" s="26">
        <v>174963.67</v>
      </c>
      <c r="O43" s="26">
        <v>30555.59</v>
      </c>
    </row>
    <row r="44" spans="1:15" ht="15" customHeight="1" x14ac:dyDescent="0.25">
      <c r="A44" s="23">
        <v>3293</v>
      </c>
      <c r="B44" s="24" t="s">
        <v>67</v>
      </c>
      <c r="C44" s="26">
        <v>0</v>
      </c>
      <c r="D44" s="26">
        <v>1000</v>
      </c>
      <c r="E44" s="26">
        <v>5000</v>
      </c>
      <c r="F44" s="26">
        <v>0</v>
      </c>
      <c r="G44" s="25">
        <f>70000-30000</f>
        <v>40000</v>
      </c>
      <c r="H44" s="80">
        <f t="shared" si="10"/>
        <v>46000</v>
      </c>
      <c r="I44" s="70">
        <v>28462.77</v>
      </c>
      <c r="J44" s="26">
        <v>27904.639999999999</v>
      </c>
      <c r="K44" s="51">
        <f t="shared" si="21"/>
        <v>12095.36</v>
      </c>
      <c r="L44" s="51">
        <f t="shared" si="22"/>
        <v>17537.23</v>
      </c>
      <c r="M44" s="26">
        <v>76000</v>
      </c>
      <c r="N44" s="26">
        <v>65195.42</v>
      </c>
      <c r="O44" s="26">
        <v>58690.07</v>
      </c>
    </row>
    <row r="45" spans="1:15" ht="15" customHeight="1" x14ac:dyDescent="0.25">
      <c r="A45" s="23" t="s">
        <v>68</v>
      </c>
      <c r="B45" s="24" t="s">
        <v>69</v>
      </c>
      <c r="C45" s="26">
        <v>7000</v>
      </c>
      <c r="D45" s="25">
        <v>14000</v>
      </c>
      <c r="E45" s="26">
        <v>0</v>
      </c>
      <c r="F45" s="26">
        <v>0</v>
      </c>
      <c r="G45" s="63">
        <v>4000</v>
      </c>
      <c r="H45" s="80">
        <f t="shared" si="10"/>
        <v>25000</v>
      </c>
      <c r="I45" s="70">
        <v>19344.810000000001</v>
      </c>
      <c r="J45" s="26">
        <v>3657.85</v>
      </c>
      <c r="K45" s="51">
        <f t="shared" si="21"/>
        <v>342.15000000000009</v>
      </c>
      <c r="L45" s="51">
        <f t="shared" si="22"/>
        <v>5655.1899999999987</v>
      </c>
      <c r="M45" s="26">
        <v>25000</v>
      </c>
      <c r="N45" s="26">
        <v>23938.51</v>
      </c>
      <c r="O45" s="26">
        <v>695.83</v>
      </c>
    </row>
    <row r="46" spans="1:15" ht="15" customHeight="1" x14ac:dyDescent="0.25">
      <c r="A46" s="23" t="s">
        <v>70</v>
      </c>
      <c r="B46" s="24" t="s">
        <v>71</v>
      </c>
      <c r="C46" s="26">
        <v>7000</v>
      </c>
      <c r="D46" s="26">
        <v>0</v>
      </c>
      <c r="E46" s="26">
        <v>4000</v>
      </c>
      <c r="F46" s="26">
        <v>0</v>
      </c>
      <c r="G46" s="26">
        <v>160000</v>
      </c>
      <c r="H46" s="80">
        <f t="shared" si="10"/>
        <v>171000</v>
      </c>
      <c r="I46" s="70">
        <v>126759.15</v>
      </c>
      <c r="J46" s="26">
        <v>124849.15</v>
      </c>
      <c r="K46" s="51">
        <f t="shared" si="21"/>
        <v>35150.850000000006</v>
      </c>
      <c r="L46" s="51">
        <f t="shared" si="22"/>
        <v>44240.850000000006</v>
      </c>
      <c r="M46" s="26">
        <v>171500</v>
      </c>
      <c r="N46" s="26">
        <v>176057.42</v>
      </c>
      <c r="O46" s="26">
        <v>166637.42000000001</v>
      </c>
    </row>
    <row r="47" spans="1:15" ht="15" customHeight="1" x14ac:dyDescent="0.25">
      <c r="A47" s="23">
        <v>3299</v>
      </c>
      <c r="B47" s="24" t="s">
        <v>62</v>
      </c>
      <c r="C47" s="26">
        <v>0</v>
      </c>
      <c r="D47" s="26">
        <v>15000</v>
      </c>
      <c r="E47" s="26">
        <v>5000</v>
      </c>
      <c r="F47" s="26">
        <v>0</v>
      </c>
      <c r="G47" s="26">
        <v>30000</v>
      </c>
      <c r="H47" s="80">
        <f t="shared" si="10"/>
        <v>50000</v>
      </c>
      <c r="I47" s="70">
        <v>21178.75</v>
      </c>
      <c r="J47" s="26">
        <v>18529.07</v>
      </c>
      <c r="K47" s="51">
        <f t="shared" si="21"/>
        <v>11470.93</v>
      </c>
      <c r="L47" s="51">
        <f t="shared" si="22"/>
        <v>28821.25</v>
      </c>
      <c r="M47" s="26">
        <v>35500</v>
      </c>
      <c r="N47" s="26">
        <v>33916.85</v>
      </c>
      <c r="O47" s="26">
        <v>27789.56</v>
      </c>
    </row>
    <row r="48" spans="1:15" s="19" customFormat="1" ht="15" customHeight="1" x14ac:dyDescent="0.25">
      <c r="A48" s="20">
        <v>34</v>
      </c>
      <c r="B48" s="21" t="s">
        <v>72</v>
      </c>
      <c r="C48" s="22">
        <f>C49</f>
        <v>7000</v>
      </c>
      <c r="D48" s="22">
        <f>D49</f>
        <v>0</v>
      </c>
      <c r="E48" s="22">
        <f t="shared" ref="E48:F48" si="23">E49</f>
        <v>11500</v>
      </c>
      <c r="F48" s="22">
        <f t="shared" si="23"/>
        <v>0</v>
      </c>
      <c r="G48" s="22">
        <f>G49</f>
        <v>111000</v>
      </c>
      <c r="H48" s="79">
        <f>SUM(C48:G48)</f>
        <v>129500</v>
      </c>
      <c r="I48" s="69">
        <f>I49</f>
        <v>81771.459999999992</v>
      </c>
      <c r="J48" s="18"/>
      <c r="K48" s="42"/>
      <c r="L48" s="42"/>
      <c r="M48" s="43">
        <v>163000</v>
      </c>
      <c r="N48" s="22">
        <f>N49</f>
        <v>133687.57</v>
      </c>
      <c r="O48" s="22">
        <f>O49</f>
        <v>108505.24</v>
      </c>
    </row>
    <row r="49" spans="1:15" s="19" customFormat="1" ht="15" customHeight="1" x14ac:dyDescent="0.25">
      <c r="A49" s="20">
        <v>343</v>
      </c>
      <c r="B49" s="21" t="s">
        <v>73</v>
      </c>
      <c r="C49" s="22">
        <f>SUM(C50:C51)</f>
        <v>7000</v>
      </c>
      <c r="D49" s="22">
        <f>SUM(D50:D51)</f>
        <v>0</v>
      </c>
      <c r="E49" s="22">
        <f>SUM(E50:E51)</f>
        <v>11500</v>
      </c>
      <c r="F49" s="22">
        <f>SUM(F50:F51)</f>
        <v>0</v>
      </c>
      <c r="G49" s="22">
        <f>SUM(G50:G51)</f>
        <v>111000</v>
      </c>
      <c r="H49" s="79">
        <f>SUM(C49:G49)</f>
        <v>129500</v>
      </c>
      <c r="I49" s="69">
        <f>SUM(I50:I51)</f>
        <v>81771.459999999992</v>
      </c>
      <c r="J49" s="18"/>
      <c r="K49" s="42"/>
      <c r="L49" s="42"/>
      <c r="M49" s="43">
        <v>163000</v>
      </c>
      <c r="N49" s="22">
        <f>SUM(N50:N51)</f>
        <v>133687.57</v>
      </c>
      <c r="O49" s="22">
        <f>SUM(O50:O51)</f>
        <v>108505.24</v>
      </c>
    </row>
    <row r="50" spans="1:15" ht="15" customHeight="1" x14ac:dyDescent="0.25">
      <c r="A50" s="23">
        <v>3431</v>
      </c>
      <c r="B50" s="24" t="s">
        <v>74</v>
      </c>
      <c r="C50" s="26">
        <v>7000</v>
      </c>
      <c r="D50" s="26">
        <v>0</v>
      </c>
      <c r="E50" s="26">
        <v>11000</v>
      </c>
      <c r="F50" s="26">
        <v>0</v>
      </c>
      <c r="G50" s="26">
        <v>110000</v>
      </c>
      <c r="H50" s="80">
        <f t="shared" si="10"/>
        <v>128000</v>
      </c>
      <c r="I50" s="70">
        <v>81431.81</v>
      </c>
      <c r="J50" s="26">
        <f>58575.27+5000</f>
        <v>63575.27</v>
      </c>
      <c r="K50" s="26">
        <f>G50-J50</f>
        <v>46424.73</v>
      </c>
      <c r="L50" s="26">
        <f>H50-I50</f>
        <v>46568.19</v>
      </c>
      <c r="M50" s="26">
        <v>161500</v>
      </c>
      <c r="N50" s="26">
        <v>132329.69</v>
      </c>
      <c r="O50" s="26">
        <v>107147.64</v>
      </c>
    </row>
    <row r="51" spans="1:15" ht="15" customHeight="1" x14ac:dyDescent="0.25">
      <c r="A51" s="23">
        <v>3433</v>
      </c>
      <c r="B51" s="24" t="s">
        <v>75</v>
      </c>
      <c r="C51" s="26">
        <v>0</v>
      </c>
      <c r="D51" s="26">
        <v>0</v>
      </c>
      <c r="E51" s="26">
        <v>500</v>
      </c>
      <c r="F51" s="26">
        <v>0</v>
      </c>
      <c r="G51" s="26">
        <v>1000</v>
      </c>
      <c r="H51" s="80">
        <f t="shared" si="10"/>
        <v>1500</v>
      </c>
      <c r="I51" s="70">
        <v>339.65</v>
      </c>
      <c r="J51" s="26">
        <v>339.65</v>
      </c>
      <c r="K51" s="26">
        <f>G51-J51</f>
        <v>660.35</v>
      </c>
      <c r="L51" s="26">
        <f>H51-I51</f>
        <v>1160.3499999999999</v>
      </c>
      <c r="M51" s="26">
        <v>1500</v>
      </c>
      <c r="N51" s="26">
        <v>1357.88</v>
      </c>
      <c r="O51" s="26">
        <v>1357.6</v>
      </c>
    </row>
    <row r="52" spans="1:15" s="31" customFormat="1" ht="15" customHeight="1" x14ac:dyDescent="0.25">
      <c r="A52" s="95" t="s">
        <v>76</v>
      </c>
      <c r="B52" s="96"/>
      <c r="C52" s="14">
        <f>C53</f>
        <v>628500</v>
      </c>
      <c r="D52" s="14">
        <f>D53</f>
        <v>232753</v>
      </c>
      <c r="E52" s="14">
        <f>E53</f>
        <v>78000</v>
      </c>
      <c r="F52" s="14">
        <f>F53</f>
        <v>46000</v>
      </c>
      <c r="G52" s="14">
        <f>G54</f>
        <v>745500</v>
      </c>
      <c r="H52" s="77">
        <f t="shared" si="10"/>
        <v>1730753</v>
      </c>
      <c r="I52" s="72">
        <f>I53</f>
        <v>1046915.03</v>
      </c>
      <c r="J52" s="47"/>
      <c r="K52" s="59"/>
      <c r="L52" s="59"/>
      <c r="M52" s="41">
        <v>1828000</v>
      </c>
      <c r="N52" s="14">
        <f>N54</f>
        <v>1759793.8799999997</v>
      </c>
      <c r="O52" s="14">
        <f>O53</f>
        <v>764291.43</v>
      </c>
    </row>
    <row r="53" spans="1:15" ht="15" customHeight="1" x14ac:dyDescent="0.25">
      <c r="A53" s="16">
        <v>3</v>
      </c>
      <c r="B53" s="17" t="s">
        <v>12</v>
      </c>
      <c r="C53" s="26">
        <f>C54</f>
        <v>628500</v>
      </c>
      <c r="D53" s="26">
        <f t="shared" ref="D53" si="24">D54</f>
        <v>232753</v>
      </c>
      <c r="E53" s="26">
        <f>E54</f>
        <v>78000</v>
      </c>
      <c r="F53" s="26">
        <f>F54</f>
        <v>46000</v>
      </c>
      <c r="G53" s="26">
        <f>G54</f>
        <v>745500</v>
      </c>
      <c r="H53" s="80">
        <f>SUM(C53:G53)</f>
        <v>1730753</v>
      </c>
      <c r="I53" s="70">
        <f>I54</f>
        <v>1046915.03</v>
      </c>
      <c r="J53" s="26"/>
      <c r="K53" s="26"/>
      <c r="L53" s="26"/>
      <c r="M53" s="26">
        <v>1828000</v>
      </c>
      <c r="N53" s="26">
        <f>N54</f>
        <v>1759793.8799999997</v>
      </c>
      <c r="O53" s="26">
        <f>O54</f>
        <v>764291.43</v>
      </c>
    </row>
    <row r="54" spans="1:15" s="19" customFormat="1" ht="15" customHeight="1" x14ac:dyDescent="0.25">
      <c r="A54" s="20">
        <v>32</v>
      </c>
      <c r="B54" s="21" t="s">
        <v>24</v>
      </c>
      <c r="C54" s="22">
        <f t="shared" ref="C54:I54" si="25">C55+C58+C64+C72+C74</f>
        <v>628500</v>
      </c>
      <c r="D54" s="22">
        <f>D55+D58+D64+D72+D74</f>
        <v>232753</v>
      </c>
      <c r="E54" s="22">
        <f t="shared" si="25"/>
        <v>78000</v>
      </c>
      <c r="F54" s="22">
        <f t="shared" si="25"/>
        <v>46000</v>
      </c>
      <c r="G54" s="22">
        <f t="shared" si="25"/>
        <v>745500</v>
      </c>
      <c r="H54" s="79">
        <f>SUM(C54:G54)</f>
        <v>1730753</v>
      </c>
      <c r="I54" s="69">
        <f t="shared" si="25"/>
        <v>1046915.03</v>
      </c>
      <c r="J54" s="18"/>
      <c r="K54" s="42"/>
      <c r="L54" s="42"/>
      <c r="M54" s="43">
        <v>1828000</v>
      </c>
      <c r="N54" s="22">
        <f>N55+N58+N64+N72+N74</f>
        <v>1759793.8799999997</v>
      </c>
      <c r="O54" s="22">
        <f>O55+O58+O64+O72+O74</f>
        <v>764291.43</v>
      </c>
    </row>
    <row r="55" spans="1:15" s="19" customFormat="1" ht="15" customHeight="1" x14ac:dyDescent="0.25">
      <c r="A55" s="20">
        <v>321</v>
      </c>
      <c r="B55" s="21" t="s">
        <v>25</v>
      </c>
      <c r="C55" s="22">
        <f>SUM(C56:C57)</f>
        <v>37500</v>
      </c>
      <c r="D55" s="22">
        <f>SUM(D56:D57)</f>
        <v>15000</v>
      </c>
      <c r="E55" s="22">
        <f t="shared" ref="E55:F55" si="26">SUM(E56:E57)</f>
        <v>0</v>
      </c>
      <c r="F55" s="22">
        <f t="shared" si="26"/>
        <v>0</v>
      </c>
      <c r="G55" s="22">
        <f>SUM(G56:G57)</f>
        <v>45000</v>
      </c>
      <c r="H55" s="79">
        <f t="shared" si="10"/>
        <v>97500</v>
      </c>
      <c r="I55" s="69">
        <f t="shared" ref="I55" si="27">SUM(I56:I57)</f>
        <v>165900.51999999999</v>
      </c>
      <c r="J55" s="18"/>
      <c r="K55" s="42"/>
      <c r="L55" s="42"/>
      <c r="M55" s="43">
        <v>133000</v>
      </c>
      <c r="N55" s="22">
        <f>SUM(N56:N57)</f>
        <v>119949.87</v>
      </c>
      <c r="O55" s="22">
        <f>SUM(O56:O57)</f>
        <v>102403.38</v>
      </c>
    </row>
    <row r="56" spans="1:15" ht="15" customHeight="1" x14ac:dyDescent="0.25">
      <c r="A56" s="23" t="s">
        <v>26</v>
      </c>
      <c r="B56" s="24" t="s">
        <v>27</v>
      </c>
      <c r="C56" s="26">
        <v>17500</v>
      </c>
      <c r="D56" s="26">
        <v>10000</v>
      </c>
      <c r="E56" s="26">
        <v>0</v>
      </c>
      <c r="F56" s="26">
        <v>0</v>
      </c>
      <c r="G56" s="25">
        <f>80000-50000</f>
        <v>30000</v>
      </c>
      <c r="H56" s="80">
        <f t="shared" si="10"/>
        <v>57500</v>
      </c>
      <c r="I56" s="70">
        <v>130542.06</v>
      </c>
      <c r="J56" s="51">
        <v>88003.46</v>
      </c>
      <c r="K56" s="49">
        <f>G56-J56</f>
        <v>-58003.460000000006</v>
      </c>
      <c r="L56" s="49">
        <f>H56-I56</f>
        <v>-73042.06</v>
      </c>
      <c r="M56" s="26">
        <v>110000</v>
      </c>
      <c r="N56" s="26">
        <v>98671.87</v>
      </c>
      <c r="O56" s="26">
        <v>84475.38</v>
      </c>
    </row>
    <row r="57" spans="1:15" ht="15" customHeight="1" x14ac:dyDescent="0.25">
      <c r="A57" s="23" t="s">
        <v>29</v>
      </c>
      <c r="B57" s="24" t="s">
        <v>30</v>
      </c>
      <c r="C57" s="26">
        <v>20000</v>
      </c>
      <c r="D57" s="26">
        <v>5000</v>
      </c>
      <c r="E57" s="26">
        <v>0</v>
      </c>
      <c r="F57" s="26">
        <v>0</v>
      </c>
      <c r="G57" s="26">
        <v>15000</v>
      </c>
      <c r="H57" s="80">
        <f t="shared" si="10"/>
        <v>40000</v>
      </c>
      <c r="I57" s="70">
        <v>35358.46</v>
      </c>
      <c r="J57" s="26">
        <v>14943.26</v>
      </c>
      <c r="K57" s="51">
        <f>G57-J57</f>
        <v>56.739999999999782</v>
      </c>
      <c r="L57" s="51">
        <f>H57-I57</f>
        <v>4641.5400000000009</v>
      </c>
      <c r="M57" s="26">
        <v>23000</v>
      </c>
      <c r="N57" s="26">
        <v>21278</v>
      </c>
      <c r="O57" s="26">
        <v>17928</v>
      </c>
    </row>
    <row r="58" spans="1:15" s="19" customFormat="1" ht="15" customHeight="1" x14ac:dyDescent="0.25">
      <c r="A58" s="20" t="s">
        <v>77</v>
      </c>
      <c r="B58" s="21" t="s">
        <v>32</v>
      </c>
      <c r="C58" s="22">
        <f>SUM(C59:C63)</f>
        <v>312000</v>
      </c>
      <c r="D58" s="22">
        <f>SUM(D59:D63)</f>
        <v>15500</v>
      </c>
      <c r="E58" s="22">
        <f t="shared" ref="E58:F58" si="28">SUM(E59:E63)</f>
        <v>27000</v>
      </c>
      <c r="F58" s="22">
        <f t="shared" si="28"/>
        <v>15000</v>
      </c>
      <c r="G58" s="22">
        <f>SUM(G59:G63)</f>
        <v>410000</v>
      </c>
      <c r="H58" s="79">
        <f>SUM(C58:G58)</f>
        <v>779500</v>
      </c>
      <c r="I58" s="69">
        <f t="shared" ref="I58" si="29">SUM(I59:I63)</f>
        <v>504802</v>
      </c>
      <c r="J58" s="18"/>
      <c r="K58" s="42"/>
      <c r="L58" s="42"/>
      <c r="M58" s="43">
        <v>859150</v>
      </c>
      <c r="N58" s="22">
        <f>SUM(N59:N63)</f>
        <v>797757.91999999993</v>
      </c>
      <c r="O58" s="22">
        <f>SUM(O59:O63)</f>
        <v>420471.6</v>
      </c>
    </row>
    <row r="59" spans="1:15" ht="15" customHeight="1" x14ac:dyDescent="0.25">
      <c r="A59" s="23">
        <v>3221</v>
      </c>
      <c r="B59" s="24" t="s">
        <v>33</v>
      </c>
      <c r="C59" s="25">
        <f>4000+285000</f>
        <v>289000</v>
      </c>
      <c r="D59" s="26">
        <v>7000</v>
      </c>
      <c r="E59" s="26">
        <v>20000</v>
      </c>
      <c r="F59" s="26">
        <v>7000</v>
      </c>
      <c r="G59" s="25">
        <v>400000</v>
      </c>
      <c r="H59" s="80">
        <f t="shared" si="10"/>
        <v>723000</v>
      </c>
      <c r="I59" s="70">
        <v>483995.02</v>
      </c>
      <c r="J59" s="26">
        <v>42523.51</v>
      </c>
      <c r="K59" s="26">
        <f>G59-J59</f>
        <v>357476.49</v>
      </c>
      <c r="L59" s="26">
        <f>H59-I59</f>
        <v>239004.97999999998</v>
      </c>
      <c r="M59" s="26">
        <v>775250</v>
      </c>
      <c r="N59" s="26">
        <v>769641.94</v>
      </c>
      <c r="O59" s="26">
        <v>404976.48</v>
      </c>
    </row>
    <row r="60" spans="1:15" ht="15" customHeight="1" x14ac:dyDescent="0.25">
      <c r="A60" s="23" t="s">
        <v>34</v>
      </c>
      <c r="B60" s="24" t="s">
        <v>35</v>
      </c>
      <c r="C60" s="26">
        <f>3000+20000</f>
        <v>23000</v>
      </c>
      <c r="D60" s="26">
        <v>5000</v>
      </c>
      <c r="E60" s="26">
        <v>5000</v>
      </c>
      <c r="F60" s="26">
        <v>3000</v>
      </c>
      <c r="G60" s="25">
        <v>10000</v>
      </c>
      <c r="H60" s="80">
        <f t="shared" si="10"/>
        <v>46000</v>
      </c>
      <c r="I60" s="70">
        <v>16877.73</v>
      </c>
      <c r="J60" s="26">
        <v>2907.62</v>
      </c>
      <c r="K60" s="26">
        <f>G60-J60</f>
        <v>7092.38</v>
      </c>
      <c r="L60" s="26">
        <f>H60-I60</f>
        <v>29122.27</v>
      </c>
      <c r="M60" s="26">
        <v>73025</v>
      </c>
      <c r="N60" s="26">
        <v>18856.080000000002</v>
      </c>
      <c r="O60" s="26">
        <v>9326.1200000000008</v>
      </c>
    </row>
    <row r="61" spans="1:15" ht="15" customHeight="1" x14ac:dyDescent="0.25">
      <c r="A61" s="23" t="s">
        <v>36</v>
      </c>
      <c r="B61" s="24" t="s">
        <v>37</v>
      </c>
      <c r="C61" s="26">
        <v>0</v>
      </c>
      <c r="D61" s="26">
        <v>3500</v>
      </c>
      <c r="E61" s="26">
        <v>0</v>
      </c>
      <c r="F61" s="26">
        <v>0</v>
      </c>
      <c r="G61" s="26">
        <v>0</v>
      </c>
      <c r="H61" s="80">
        <f t="shared" si="10"/>
        <v>3500</v>
      </c>
      <c r="I61" s="70">
        <v>0</v>
      </c>
      <c r="J61" s="26"/>
      <c r="K61" s="26"/>
      <c r="L61" s="26"/>
      <c r="M61" s="26">
        <v>3500</v>
      </c>
      <c r="N61" s="26">
        <v>0</v>
      </c>
      <c r="O61" s="26"/>
    </row>
    <row r="62" spans="1:15" ht="15" customHeight="1" x14ac:dyDescent="0.25">
      <c r="A62" s="23" t="s">
        <v>38</v>
      </c>
      <c r="B62" s="24" t="s">
        <v>39</v>
      </c>
      <c r="C62" s="26">
        <v>0</v>
      </c>
      <c r="D62" s="26">
        <v>0</v>
      </c>
      <c r="E62" s="26">
        <v>0</v>
      </c>
      <c r="F62" s="25">
        <v>5000</v>
      </c>
      <c r="G62" s="26">
        <v>0</v>
      </c>
      <c r="H62" s="80">
        <f t="shared" si="10"/>
        <v>5000</v>
      </c>
      <c r="I62" s="70">
        <v>3929.25</v>
      </c>
      <c r="J62" s="26"/>
      <c r="K62" s="26">
        <f>G62-J62</f>
        <v>0</v>
      </c>
      <c r="L62" s="26">
        <f>H62-I62</f>
        <v>1070.75</v>
      </c>
      <c r="M62" s="26">
        <v>5375</v>
      </c>
      <c r="N62" s="26">
        <v>6169</v>
      </c>
      <c r="O62" s="26">
        <v>6169</v>
      </c>
    </row>
    <row r="63" spans="1:15" ht="15" customHeight="1" x14ac:dyDescent="0.25">
      <c r="A63" s="23" t="s">
        <v>40</v>
      </c>
      <c r="B63" s="24" t="s">
        <v>78</v>
      </c>
      <c r="C63" s="26">
        <v>0</v>
      </c>
      <c r="D63" s="26">
        <v>0</v>
      </c>
      <c r="E63" s="26">
        <v>2000</v>
      </c>
      <c r="F63" s="26">
        <v>0</v>
      </c>
      <c r="G63" s="26">
        <v>0</v>
      </c>
      <c r="H63" s="80">
        <f t="shared" si="10"/>
        <v>2000</v>
      </c>
      <c r="I63" s="70">
        <v>0</v>
      </c>
      <c r="J63" s="26"/>
      <c r="K63" s="26">
        <f>G63-J63</f>
        <v>0</v>
      </c>
      <c r="L63" s="26">
        <f>H63-I63</f>
        <v>2000</v>
      </c>
      <c r="M63" s="26">
        <v>2000</v>
      </c>
      <c r="N63" s="26">
        <v>3090.9</v>
      </c>
      <c r="O63" s="26"/>
    </row>
    <row r="64" spans="1:15" s="19" customFormat="1" ht="15" customHeight="1" x14ac:dyDescent="0.25">
      <c r="A64" s="20" t="s">
        <v>43</v>
      </c>
      <c r="B64" s="21" t="s">
        <v>44</v>
      </c>
      <c r="C64" s="22">
        <f>SUM(C65:C71)</f>
        <v>254000</v>
      </c>
      <c r="D64" s="22">
        <f>SUM(D65:D71)</f>
        <v>186500</v>
      </c>
      <c r="E64" s="22">
        <f t="shared" ref="E64:I64" si="30">SUM(E65:E71)</f>
        <v>48000</v>
      </c>
      <c r="F64" s="22">
        <f t="shared" si="30"/>
        <v>31000</v>
      </c>
      <c r="G64" s="22">
        <f t="shared" si="30"/>
        <v>225500</v>
      </c>
      <c r="H64" s="79">
        <f t="shared" si="10"/>
        <v>745000</v>
      </c>
      <c r="I64" s="69">
        <f t="shared" si="30"/>
        <v>311985.88</v>
      </c>
      <c r="J64" s="18"/>
      <c r="K64" s="42"/>
      <c r="L64" s="42"/>
      <c r="M64" s="43">
        <v>746750</v>
      </c>
      <c r="N64" s="22">
        <f t="shared" ref="N64" si="31">SUM(N65:N71)</f>
        <v>753325.90999999992</v>
      </c>
      <c r="O64" s="22">
        <f>SUM(O65:O71)</f>
        <v>211831.52000000002</v>
      </c>
    </row>
    <row r="65" spans="1:15" ht="15" customHeight="1" x14ac:dyDescent="0.25">
      <c r="A65" s="23" t="s">
        <v>45</v>
      </c>
      <c r="B65" s="24" t="s">
        <v>46</v>
      </c>
      <c r="C65" s="26">
        <v>12000</v>
      </c>
      <c r="D65" s="26">
        <v>10000</v>
      </c>
      <c r="E65" s="26">
        <v>0</v>
      </c>
      <c r="F65" s="26">
        <v>0</v>
      </c>
      <c r="G65" s="26">
        <f>1000+500</f>
        <v>1500</v>
      </c>
      <c r="H65" s="80">
        <f t="shared" si="10"/>
        <v>23500</v>
      </c>
      <c r="I65" s="70">
        <v>2697.29</v>
      </c>
      <c r="J65" s="26">
        <v>920.99</v>
      </c>
      <c r="K65" s="26">
        <f>G65-J65</f>
        <v>579.01</v>
      </c>
      <c r="L65" s="26">
        <f>H65-I65</f>
        <v>20802.71</v>
      </c>
      <c r="M65" s="26">
        <v>48000</v>
      </c>
      <c r="N65" s="26">
        <v>14164.09</v>
      </c>
      <c r="O65" s="26">
        <v>288</v>
      </c>
    </row>
    <row r="66" spans="1:15" ht="15" customHeight="1" x14ac:dyDescent="0.25">
      <c r="A66" s="23" t="s">
        <v>47</v>
      </c>
      <c r="B66" s="24" t="s">
        <v>48</v>
      </c>
      <c r="C66" s="25">
        <f>7000+12000-12000</f>
        <v>7000</v>
      </c>
      <c r="D66" s="26">
        <v>0</v>
      </c>
      <c r="E66" s="26">
        <v>0</v>
      </c>
      <c r="F66" s="26">
        <v>0</v>
      </c>
      <c r="G66" s="26">
        <v>0</v>
      </c>
      <c r="H66" s="80">
        <f t="shared" si="10"/>
        <v>7000</v>
      </c>
      <c r="I66" s="70">
        <v>0</v>
      </c>
      <c r="J66" s="26"/>
      <c r="K66" s="26">
        <f t="shared" ref="K66:K71" si="32">G66-J66</f>
        <v>0</v>
      </c>
      <c r="L66" s="26">
        <f t="shared" ref="L66:L71" si="33">H66-I66</f>
        <v>7000</v>
      </c>
      <c r="M66" s="26">
        <v>21000</v>
      </c>
      <c r="N66" s="26">
        <v>0</v>
      </c>
      <c r="O66" s="26"/>
    </row>
    <row r="67" spans="1:15" ht="15" customHeight="1" x14ac:dyDescent="0.25">
      <c r="A67" s="23">
        <v>3233</v>
      </c>
      <c r="B67" s="24" t="s">
        <v>49</v>
      </c>
      <c r="C67" s="26">
        <f>11000+29000</f>
        <v>40000</v>
      </c>
      <c r="D67" s="26">
        <v>0</v>
      </c>
      <c r="E67" s="26">
        <v>4000</v>
      </c>
      <c r="F67" s="26">
        <v>8000</v>
      </c>
      <c r="G67" s="26">
        <v>2000</v>
      </c>
      <c r="H67" s="80">
        <f t="shared" si="10"/>
        <v>54000</v>
      </c>
      <c r="I67" s="70">
        <v>0</v>
      </c>
      <c r="J67" s="26"/>
      <c r="K67" s="26">
        <f t="shared" si="32"/>
        <v>2000</v>
      </c>
      <c r="L67" s="26">
        <f t="shared" si="33"/>
        <v>54000</v>
      </c>
      <c r="M67" s="26">
        <v>59250</v>
      </c>
      <c r="N67" s="26">
        <v>6750</v>
      </c>
      <c r="O67" s="26"/>
    </row>
    <row r="68" spans="1:15" ht="15" customHeight="1" x14ac:dyDescent="0.25">
      <c r="A68" s="23" t="s">
        <v>52</v>
      </c>
      <c r="B68" s="24" t="s">
        <v>53</v>
      </c>
      <c r="C68" s="26">
        <v>12000</v>
      </c>
      <c r="D68" s="26">
        <v>0</v>
      </c>
      <c r="E68" s="26">
        <v>5000</v>
      </c>
      <c r="F68" s="26">
        <v>0</v>
      </c>
      <c r="G68" s="25">
        <v>10000</v>
      </c>
      <c r="H68" s="80">
        <f t="shared" si="10"/>
        <v>27000</v>
      </c>
      <c r="I68" s="70">
        <v>1000</v>
      </c>
      <c r="J68" s="26">
        <v>1000</v>
      </c>
      <c r="K68" s="26">
        <f t="shared" si="32"/>
        <v>9000</v>
      </c>
      <c r="L68" s="26">
        <f t="shared" si="33"/>
        <v>26000</v>
      </c>
      <c r="M68" s="26">
        <v>23500</v>
      </c>
      <c r="N68" s="26">
        <v>21603.200000000001</v>
      </c>
      <c r="O68" s="26">
        <v>19800</v>
      </c>
    </row>
    <row r="69" spans="1:15" ht="15" customHeight="1" x14ac:dyDescent="0.25">
      <c r="A69" s="23" t="s">
        <v>55</v>
      </c>
      <c r="B69" s="24" t="s">
        <v>56</v>
      </c>
      <c r="C69" s="26">
        <f>12000+109000-10000</f>
        <v>111000</v>
      </c>
      <c r="D69" s="26">
        <v>100000</v>
      </c>
      <c r="E69" s="26">
        <v>28000</v>
      </c>
      <c r="F69" s="25">
        <v>23000</v>
      </c>
      <c r="G69" s="25">
        <v>170000</v>
      </c>
      <c r="H69" s="80">
        <f t="shared" si="10"/>
        <v>432000</v>
      </c>
      <c r="I69" s="70">
        <v>228481.28</v>
      </c>
      <c r="J69" s="26">
        <v>53589.45</v>
      </c>
      <c r="K69" s="26">
        <f t="shared" si="32"/>
        <v>116410.55</v>
      </c>
      <c r="L69" s="26">
        <f t="shared" si="33"/>
        <v>203518.72</v>
      </c>
      <c r="M69" s="26">
        <v>376000</v>
      </c>
      <c r="N69" s="49">
        <v>500070.17</v>
      </c>
      <c r="O69" s="26">
        <v>151292.39000000001</v>
      </c>
    </row>
    <row r="70" spans="1:15" x14ac:dyDescent="0.25">
      <c r="A70" s="23" t="s">
        <v>57</v>
      </c>
      <c r="B70" s="24" t="s">
        <v>58</v>
      </c>
      <c r="C70" s="26">
        <f>29000-15000</f>
        <v>14000</v>
      </c>
      <c r="D70" s="26">
        <v>1500</v>
      </c>
      <c r="E70" s="26">
        <v>1000</v>
      </c>
      <c r="F70" s="26">
        <v>0</v>
      </c>
      <c r="G70" s="25">
        <v>2000</v>
      </c>
      <c r="H70" s="80">
        <f>SUM(C70:G70)</f>
        <v>18500</v>
      </c>
      <c r="I70" s="70"/>
      <c r="J70" s="26"/>
      <c r="K70" s="26">
        <f t="shared" si="32"/>
        <v>2000</v>
      </c>
      <c r="L70" s="26">
        <f t="shared" si="33"/>
        <v>18500</v>
      </c>
      <c r="M70" s="26">
        <v>46000</v>
      </c>
      <c r="N70" s="26">
        <v>1703.75</v>
      </c>
      <c r="O70" s="26"/>
    </row>
    <row r="71" spans="1:15" ht="15" customHeight="1" x14ac:dyDescent="0.25">
      <c r="A71" s="23" t="s">
        <v>59</v>
      </c>
      <c r="B71" s="24" t="s">
        <v>60</v>
      </c>
      <c r="C71" s="25">
        <f>25000+48000-15000</f>
        <v>58000</v>
      </c>
      <c r="D71" s="26">
        <v>75000</v>
      </c>
      <c r="E71" s="26">
        <v>10000</v>
      </c>
      <c r="F71" s="26">
        <v>0</v>
      </c>
      <c r="G71" s="26">
        <v>40000</v>
      </c>
      <c r="H71" s="80">
        <f t="shared" si="10"/>
        <v>183000</v>
      </c>
      <c r="I71" s="70">
        <v>79807.31</v>
      </c>
      <c r="J71" s="26">
        <v>5476.88</v>
      </c>
      <c r="K71" s="26">
        <f t="shared" si="32"/>
        <v>34523.120000000003</v>
      </c>
      <c r="L71" s="26">
        <f t="shared" si="33"/>
        <v>103192.69</v>
      </c>
      <c r="M71" s="26">
        <v>173000</v>
      </c>
      <c r="N71" s="26">
        <v>209034.7</v>
      </c>
      <c r="O71" s="26">
        <v>40451.129999999997</v>
      </c>
    </row>
    <row r="72" spans="1:15" s="19" customFormat="1" ht="15" customHeight="1" x14ac:dyDescent="0.25">
      <c r="A72" s="20">
        <v>324</v>
      </c>
      <c r="B72" s="21" t="s">
        <v>79</v>
      </c>
      <c r="C72" s="22">
        <f>SUM(C73)</f>
        <v>0</v>
      </c>
      <c r="D72" s="22">
        <f>SUM(D73)</f>
        <v>9000</v>
      </c>
      <c r="E72" s="22">
        <f t="shared" ref="E72:I72" si="34">SUM(E73)</f>
        <v>0</v>
      </c>
      <c r="F72" s="22">
        <f t="shared" si="34"/>
        <v>0</v>
      </c>
      <c r="G72" s="22">
        <f t="shared" si="34"/>
        <v>0</v>
      </c>
      <c r="H72" s="79">
        <f t="shared" si="10"/>
        <v>9000</v>
      </c>
      <c r="I72" s="69">
        <f t="shared" si="34"/>
        <v>7563.85</v>
      </c>
      <c r="J72" s="18"/>
      <c r="K72" s="42"/>
      <c r="L72" s="42"/>
      <c r="M72" s="43">
        <v>8000</v>
      </c>
      <c r="N72" s="22">
        <f>SUM(N73)</f>
        <v>7372.75</v>
      </c>
      <c r="O72" s="22">
        <f>SUM(O73)</f>
        <v>0</v>
      </c>
    </row>
    <row r="73" spans="1:15" ht="15" customHeight="1" x14ac:dyDescent="0.25">
      <c r="A73" s="23">
        <v>3241</v>
      </c>
      <c r="B73" s="24" t="s">
        <v>80</v>
      </c>
      <c r="C73" s="26">
        <v>0</v>
      </c>
      <c r="D73" s="26">
        <v>9000</v>
      </c>
      <c r="E73" s="26">
        <v>0</v>
      </c>
      <c r="F73" s="26">
        <v>0</v>
      </c>
      <c r="G73" s="26">
        <v>0</v>
      </c>
      <c r="H73" s="80">
        <f t="shared" si="10"/>
        <v>9000</v>
      </c>
      <c r="I73" s="70">
        <v>7563.85</v>
      </c>
      <c r="J73" s="26">
        <v>149.93</v>
      </c>
      <c r="K73" s="49">
        <f t="shared" ref="K73" si="35">G73-J73</f>
        <v>-149.93</v>
      </c>
      <c r="L73" s="26">
        <f t="shared" ref="L73" si="36">H73-I73</f>
        <v>1436.1499999999996</v>
      </c>
      <c r="M73" s="26">
        <v>8000</v>
      </c>
      <c r="N73" s="26">
        <v>7372.75</v>
      </c>
      <c r="O73" s="26">
        <v>0</v>
      </c>
    </row>
    <row r="74" spans="1:15" s="19" customFormat="1" ht="15" customHeight="1" x14ac:dyDescent="0.25">
      <c r="A74" s="20" t="s">
        <v>61</v>
      </c>
      <c r="B74" s="21" t="s">
        <v>62</v>
      </c>
      <c r="C74" s="22">
        <f>SUM(C75:C77)</f>
        <v>25000</v>
      </c>
      <c r="D74" s="22">
        <f>SUM(D75:D77)</f>
        <v>6753</v>
      </c>
      <c r="E74" s="22">
        <f>SUM(E75:E77)</f>
        <v>3000</v>
      </c>
      <c r="F74" s="22">
        <f>SUM(F75:F77)</f>
        <v>0</v>
      </c>
      <c r="G74" s="22">
        <f>SUM(G75:G77)</f>
        <v>65000</v>
      </c>
      <c r="H74" s="79">
        <f>SUM(C74:G74)</f>
        <v>99753</v>
      </c>
      <c r="I74" s="69">
        <f>SUM(I75:I77)</f>
        <v>56662.78</v>
      </c>
      <c r="J74" s="18"/>
      <c r="K74" s="42"/>
      <c r="L74" s="42"/>
      <c r="M74" s="43">
        <v>81100</v>
      </c>
      <c r="N74" s="22">
        <f>SUM(N75:N77)</f>
        <v>81387.429999999993</v>
      </c>
      <c r="O74" s="22">
        <f>SUM(O75:O76)</f>
        <v>29584.93</v>
      </c>
    </row>
    <row r="75" spans="1:15" ht="15" customHeight="1" x14ac:dyDescent="0.25">
      <c r="A75" s="23">
        <v>3293</v>
      </c>
      <c r="B75" s="24" t="s">
        <v>67</v>
      </c>
      <c r="C75" s="26">
        <v>0</v>
      </c>
      <c r="D75" s="26">
        <v>6753</v>
      </c>
      <c r="E75" s="26">
        <v>3000</v>
      </c>
      <c r="F75" s="26">
        <v>0</v>
      </c>
      <c r="G75" s="25">
        <f>30000-15000</f>
        <v>15000</v>
      </c>
      <c r="H75" s="80">
        <f>SUM(C75:G75)</f>
        <v>24753</v>
      </c>
      <c r="I75" s="70">
        <v>30655.88</v>
      </c>
      <c r="J75" s="26">
        <v>15629.96</v>
      </c>
      <c r="K75" s="26">
        <f t="shared" ref="K75" si="37">G75-J75</f>
        <v>-629.95999999999913</v>
      </c>
      <c r="L75" s="26">
        <f t="shared" ref="L75" si="38">H75-I75</f>
        <v>-5902.880000000001</v>
      </c>
      <c r="M75" s="26">
        <v>79000</v>
      </c>
      <c r="N75" s="26">
        <v>68665.03</v>
      </c>
      <c r="O75" s="26">
        <v>29584.93</v>
      </c>
    </row>
    <row r="76" spans="1:15" ht="15" customHeight="1" x14ac:dyDescent="0.25">
      <c r="A76" s="23">
        <v>3294</v>
      </c>
      <c r="B76" s="24" t="s">
        <v>69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80">
        <f>SUM(C76:G76)</f>
        <v>0</v>
      </c>
      <c r="I76" s="70"/>
      <c r="J76" s="26"/>
      <c r="K76" s="26"/>
      <c r="L76" s="26"/>
      <c r="M76" s="26">
        <v>2100</v>
      </c>
      <c r="N76" s="26">
        <v>0</v>
      </c>
      <c r="O76" s="26"/>
    </row>
    <row r="77" spans="1:15" ht="15" customHeight="1" x14ac:dyDescent="0.25">
      <c r="A77" s="23">
        <v>4241</v>
      </c>
      <c r="B77" s="24" t="s">
        <v>116</v>
      </c>
      <c r="C77" s="26">
        <v>25000</v>
      </c>
      <c r="D77" s="26">
        <v>0</v>
      </c>
      <c r="E77" s="26">
        <v>0</v>
      </c>
      <c r="F77" s="26">
        <v>0</v>
      </c>
      <c r="G77" s="26">
        <v>50000</v>
      </c>
      <c r="H77" s="80">
        <f>SUM(C77:G77)</f>
        <v>75000</v>
      </c>
      <c r="I77" s="70">
        <v>26006.9</v>
      </c>
      <c r="J77" s="26"/>
      <c r="K77" s="29"/>
      <c r="L77" s="29"/>
      <c r="M77" s="29"/>
      <c r="N77" s="26">
        <v>12722.4</v>
      </c>
      <c r="O77" s="26"/>
    </row>
    <row r="78" spans="1:15" s="31" customFormat="1" x14ac:dyDescent="0.25">
      <c r="A78" s="95" t="s">
        <v>81</v>
      </c>
      <c r="B78" s="96"/>
      <c r="C78" s="14">
        <f>SUM(C79:C80)</f>
        <v>1600000</v>
      </c>
      <c r="D78" s="14">
        <v>0</v>
      </c>
      <c r="E78" s="14">
        <v>0</v>
      </c>
      <c r="F78" s="14">
        <v>0</v>
      </c>
      <c r="G78" s="14">
        <v>0</v>
      </c>
      <c r="H78" s="77">
        <f>SUM(C78:G78)</f>
        <v>1600000</v>
      </c>
      <c r="I78" s="72">
        <v>0</v>
      </c>
      <c r="J78" s="47"/>
      <c r="K78" s="59"/>
      <c r="L78" s="59"/>
      <c r="M78" s="41">
        <v>1400000</v>
      </c>
      <c r="N78" s="22">
        <f>SUM(N79:N80)</f>
        <v>1400000</v>
      </c>
      <c r="O78" s="22">
        <f>O79+O80</f>
        <v>0</v>
      </c>
    </row>
    <row r="79" spans="1:15" x14ac:dyDescent="0.25">
      <c r="A79" s="23">
        <v>3231</v>
      </c>
      <c r="B79" s="24" t="s">
        <v>46</v>
      </c>
      <c r="C79" s="26">
        <v>200000</v>
      </c>
      <c r="D79" s="26">
        <v>0</v>
      </c>
      <c r="E79" s="26">
        <v>0</v>
      </c>
      <c r="F79" s="26">
        <v>0</v>
      </c>
      <c r="G79" s="26">
        <v>0</v>
      </c>
      <c r="H79" s="80">
        <f t="shared" ref="H79:H80" si="39">SUM(C79:G79)</f>
        <v>200000</v>
      </c>
      <c r="I79" s="70"/>
      <c r="J79" s="26"/>
      <c r="K79" s="26"/>
      <c r="L79" s="26"/>
      <c r="M79" s="26">
        <v>20000</v>
      </c>
      <c r="N79" s="26">
        <v>200000</v>
      </c>
      <c r="O79" s="26"/>
    </row>
    <row r="80" spans="1:15" x14ac:dyDescent="0.25">
      <c r="A80" s="23">
        <v>3235</v>
      </c>
      <c r="B80" s="24" t="s">
        <v>53</v>
      </c>
      <c r="C80" s="26">
        <v>1400000</v>
      </c>
      <c r="D80" s="26">
        <v>0</v>
      </c>
      <c r="E80" s="26">
        <v>0</v>
      </c>
      <c r="F80" s="26">
        <v>0</v>
      </c>
      <c r="G80" s="26">
        <v>0</v>
      </c>
      <c r="H80" s="80">
        <f t="shared" si="39"/>
        <v>1400000</v>
      </c>
      <c r="I80" s="70"/>
      <c r="J80" s="26"/>
      <c r="K80" s="26"/>
      <c r="L80" s="26"/>
      <c r="M80" s="26">
        <v>1200000</v>
      </c>
      <c r="N80" s="26">
        <v>1200000</v>
      </c>
      <c r="O80" s="26"/>
    </row>
    <row r="81" spans="1:15" s="31" customFormat="1" ht="15" customHeight="1" x14ac:dyDescent="0.25">
      <c r="A81" s="97" t="s">
        <v>82</v>
      </c>
      <c r="B81" s="98"/>
      <c r="C81" s="14">
        <f t="shared" ref="C81:I82" si="40">C82</f>
        <v>4600000</v>
      </c>
      <c r="D81" s="14">
        <f t="shared" si="40"/>
        <v>1560000</v>
      </c>
      <c r="E81" s="14">
        <f t="shared" si="40"/>
        <v>210000</v>
      </c>
      <c r="F81" s="14">
        <f t="shared" si="40"/>
        <v>78000</v>
      </c>
      <c r="G81" s="14">
        <f t="shared" si="40"/>
        <v>958000</v>
      </c>
      <c r="H81" s="77">
        <f>SUM(C81:G81)</f>
        <v>7406000</v>
      </c>
      <c r="I81" s="72">
        <f t="shared" si="40"/>
        <v>3324903.32</v>
      </c>
      <c r="J81" s="47"/>
      <c r="K81" s="59"/>
      <c r="L81" s="59"/>
      <c r="M81" s="41">
        <v>8299000</v>
      </c>
      <c r="N81" s="22">
        <f t="shared" ref="N81:N82" si="41">N82</f>
        <v>8236056.3499999996</v>
      </c>
      <c r="O81" s="22">
        <f>O82</f>
        <v>0</v>
      </c>
    </row>
    <row r="82" spans="1:15" ht="15" customHeight="1" x14ac:dyDescent="0.25">
      <c r="A82" s="16">
        <v>4</v>
      </c>
      <c r="B82" s="17" t="s">
        <v>83</v>
      </c>
      <c r="C82" s="26">
        <f t="shared" si="40"/>
        <v>4600000</v>
      </c>
      <c r="D82" s="26">
        <f t="shared" si="40"/>
        <v>1560000</v>
      </c>
      <c r="E82" s="26">
        <f>E83</f>
        <v>210000</v>
      </c>
      <c r="F82" s="26">
        <f>F83</f>
        <v>78000</v>
      </c>
      <c r="G82" s="26">
        <f t="shared" si="40"/>
        <v>958000</v>
      </c>
      <c r="H82" s="80">
        <f t="shared" si="10"/>
        <v>7406000</v>
      </c>
      <c r="I82" s="70">
        <f>I83</f>
        <v>3324903.32</v>
      </c>
      <c r="J82" s="26"/>
      <c r="K82" s="26"/>
      <c r="L82" s="26"/>
      <c r="M82" s="26">
        <v>8299000</v>
      </c>
      <c r="N82" s="26">
        <f t="shared" si="41"/>
        <v>8236056.3499999996</v>
      </c>
      <c r="O82" s="26"/>
    </row>
    <row r="83" spans="1:15" s="19" customFormat="1" ht="15" customHeight="1" x14ac:dyDescent="0.25">
      <c r="A83" s="20" t="s">
        <v>84</v>
      </c>
      <c r="B83" s="21" t="s">
        <v>85</v>
      </c>
      <c r="C83" s="22">
        <f t="shared" ref="C83:I83" si="42">C84+C88+C90</f>
        <v>4600000</v>
      </c>
      <c r="D83" s="22">
        <f t="shared" si="42"/>
        <v>1560000</v>
      </c>
      <c r="E83" s="22">
        <f t="shared" si="42"/>
        <v>210000</v>
      </c>
      <c r="F83" s="22">
        <f t="shared" si="42"/>
        <v>78000</v>
      </c>
      <c r="G83" s="22">
        <f t="shared" si="42"/>
        <v>958000</v>
      </c>
      <c r="H83" s="79">
        <f t="shared" si="42"/>
        <v>7406000</v>
      </c>
      <c r="I83" s="69">
        <f t="shared" si="42"/>
        <v>3324903.32</v>
      </c>
      <c r="J83" s="18"/>
      <c r="K83" s="42"/>
      <c r="L83" s="42"/>
      <c r="M83" s="43">
        <v>8299000</v>
      </c>
      <c r="N83" s="22">
        <f>N84+N88+N90</f>
        <v>8236056.3499999996</v>
      </c>
      <c r="O83" s="22">
        <f>O84+O88+O90</f>
        <v>1669297.66</v>
      </c>
    </row>
    <row r="84" spans="1:15" s="19" customFormat="1" ht="15" customHeight="1" x14ac:dyDescent="0.25">
      <c r="A84" s="20" t="s">
        <v>86</v>
      </c>
      <c r="B84" s="21" t="s">
        <v>87</v>
      </c>
      <c r="C84" s="22">
        <f>SUM(C85:C87)</f>
        <v>0</v>
      </c>
      <c r="D84" s="22">
        <f>SUM(D85:D87)</f>
        <v>0</v>
      </c>
      <c r="E84" s="22">
        <f>SUM(E85:E87)</f>
        <v>10000</v>
      </c>
      <c r="F84" s="22">
        <f>SUM(F85:F87)</f>
        <v>23000</v>
      </c>
      <c r="G84" s="22">
        <f>SUM(G85:G87)</f>
        <v>408000</v>
      </c>
      <c r="H84" s="79">
        <f>SUM(C84:G84)</f>
        <v>441000</v>
      </c>
      <c r="I84" s="69">
        <f>SUM(I85:I87)</f>
        <v>150381.57</v>
      </c>
      <c r="J84" s="18"/>
      <c r="K84" s="42"/>
      <c r="L84" s="42"/>
      <c r="M84" s="43">
        <v>913625</v>
      </c>
      <c r="N84" s="22">
        <f>SUM(N85:N87)</f>
        <v>858781.35</v>
      </c>
      <c r="O84" s="22">
        <f>SUM(O85:O87)</f>
        <v>804108.62</v>
      </c>
    </row>
    <row r="85" spans="1:15" ht="15" customHeight="1" x14ac:dyDescent="0.25">
      <c r="A85" s="23" t="s">
        <v>88</v>
      </c>
      <c r="B85" s="24" t="s">
        <v>89</v>
      </c>
      <c r="C85" s="26">
        <v>0</v>
      </c>
      <c r="D85" s="26">
        <v>0</v>
      </c>
      <c r="E85" s="26">
        <v>10000</v>
      </c>
      <c r="F85" s="26">
        <v>23000</v>
      </c>
      <c r="G85" s="25">
        <v>393000</v>
      </c>
      <c r="H85" s="80">
        <f t="shared" ref="H85:H90" si="43">SUM(C85:G85)</f>
        <v>426000</v>
      </c>
      <c r="I85" s="70">
        <v>43728.65</v>
      </c>
      <c r="J85" s="26">
        <v>28973.37</v>
      </c>
      <c r="K85" s="26">
        <f>G85-J85</f>
        <v>364026.63</v>
      </c>
      <c r="L85" s="26">
        <f t="shared" ref="L85" si="44">H85-I85</f>
        <v>382271.35</v>
      </c>
      <c r="M85" s="26">
        <v>668625</v>
      </c>
      <c r="N85" s="26">
        <v>683653.2</v>
      </c>
      <c r="O85" s="26">
        <v>630659.47</v>
      </c>
    </row>
    <row r="86" spans="1:15" ht="15" customHeight="1" x14ac:dyDescent="0.25">
      <c r="A86" s="23" t="s">
        <v>90</v>
      </c>
      <c r="B86" s="24" t="s">
        <v>91</v>
      </c>
      <c r="C86" s="26">
        <v>0</v>
      </c>
      <c r="D86" s="26">
        <v>0</v>
      </c>
      <c r="E86" s="26">
        <v>0</v>
      </c>
      <c r="F86" s="26">
        <v>0</v>
      </c>
      <c r="G86" s="25">
        <v>10000</v>
      </c>
      <c r="H86" s="80">
        <f t="shared" si="43"/>
        <v>10000</v>
      </c>
      <c r="I86" s="70">
        <v>106652.92</v>
      </c>
      <c r="J86" s="26">
        <v>106197.74</v>
      </c>
      <c r="K86" s="26">
        <f>G86-J86</f>
        <v>-96197.74</v>
      </c>
      <c r="L86" s="26">
        <f t="shared" ref="L86" si="45">H86-I86</f>
        <v>-96652.92</v>
      </c>
      <c r="M86" s="26">
        <v>190000</v>
      </c>
      <c r="N86" s="26">
        <v>173449.15</v>
      </c>
      <c r="O86" s="26">
        <v>173449.15</v>
      </c>
    </row>
    <row r="87" spans="1:15" ht="15" customHeight="1" x14ac:dyDescent="0.25">
      <c r="A87" s="23">
        <v>4226</v>
      </c>
      <c r="B87" s="24" t="s">
        <v>92</v>
      </c>
      <c r="C87" s="26">
        <v>0</v>
      </c>
      <c r="D87" s="26">
        <v>0</v>
      </c>
      <c r="E87" s="26">
        <v>0</v>
      </c>
      <c r="F87" s="26">
        <v>0</v>
      </c>
      <c r="G87" s="26">
        <v>5000</v>
      </c>
      <c r="H87" s="80">
        <f t="shared" si="43"/>
        <v>5000</v>
      </c>
      <c r="I87" s="70"/>
      <c r="J87" s="26"/>
      <c r="K87" s="26"/>
      <c r="L87" s="26"/>
      <c r="M87" s="26">
        <v>5000</v>
      </c>
      <c r="N87" s="26">
        <v>1679</v>
      </c>
      <c r="O87" s="26"/>
    </row>
    <row r="88" spans="1:15" s="19" customFormat="1" ht="15" customHeight="1" x14ac:dyDescent="0.25">
      <c r="A88" s="20" t="s">
        <v>93</v>
      </c>
      <c r="B88" s="21" t="s">
        <v>94</v>
      </c>
      <c r="C88" s="22">
        <f>SUM(C89)</f>
        <v>4600000</v>
      </c>
      <c r="D88" s="22">
        <f>SUM(D89)</f>
        <v>1560000</v>
      </c>
      <c r="E88" s="22">
        <f t="shared" ref="E88:F88" si="46">SUM(E89)</f>
        <v>200000</v>
      </c>
      <c r="F88" s="22">
        <f t="shared" si="46"/>
        <v>55000</v>
      </c>
      <c r="G88" s="22">
        <f>SUM(G89)</f>
        <v>450000</v>
      </c>
      <c r="H88" s="79">
        <f t="shared" si="43"/>
        <v>6865000</v>
      </c>
      <c r="I88" s="69">
        <f t="shared" ref="I88" si="47">SUM(I89)</f>
        <v>3157546.75</v>
      </c>
      <c r="J88" s="18"/>
      <c r="K88" s="42"/>
      <c r="L88" s="42"/>
      <c r="M88" s="43">
        <v>7285375</v>
      </c>
      <c r="N88" s="22">
        <f>SUM(N89)</f>
        <v>7313053.3099999996</v>
      </c>
      <c r="O88" s="22">
        <f>O89</f>
        <v>800967.35</v>
      </c>
    </row>
    <row r="89" spans="1:15" ht="15" customHeight="1" x14ac:dyDescent="0.25">
      <c r="A89" s="23" t="s">
        <v>95</v>
      </c>
      <c r="B89" s="32" t="s">
        <v>96</v>
      </c>
      <c r="C89" s="26">
        <v>4600000</v>
      </c>
      <c r="D89" s="25">
        <v>1560000</v>
      </c>
      <c r="E89" s="26">
        <v>200000</v>
      </c>
      <c r="F89" s="25">
        <v>55000</v>
      </c>
      <c r="G89" s="25">
        <v>450000</v>
      </c>
      <c r="H89" s="80">
        <f>SUM(C89:G89)</f>
        <v>6865000</v>
      </c>
      <c r="I89" s="70">
        <v>3157546.75</v>
      </c>
      <c r="J89" s="26">
        <v>297182.48</v>
      </c>
      <c r="K89" s="26">
        <f>G89-J89</f>
        <v>152817.52000000002</v>
      </c>
      <c r="L89" s="26">
        <f t="shared" ref="L89" si="48">H89-I89</f>
        <v>3707453.25</v>
      </c>
      <c r="M89" s="26">
        <v>7285375</v>
      </c>
      <c r="N89" s="26">
        <v>7313053.3099999996</v>
      </c>
      <c r="O89" s="26">
        <v>800967.35</v>
      </c>
    </row>
    <row r="90" spans="1:15" s="19" customFormat="1" ht="15" customHeight="1" x14ac:dyDescent="0.25">
      <c r="A90" s="20" t="s">
        <v>97</v>
      </c>
      <c r="B90" s="21" t="s">
        <v>98</v>
      </c>
      <c r="C90" s="22">
        <f>SUM(C91)</f>
        <v>0</v>
      </c>
      <c r="D90" s="22">
        <f t="shared" ref="D90:I90" si="49">SUM(D91)</f>
        <v>0</v>
      </c>
      <c r="E90" s="22">
        <f t="shared" si="49"/>
        <v>0</v>
      </c>
      <c r="F90" s="22">
        <f t="shared" si="49"/>
        <v>0</v>
      </c>
      <c r="G90" s="22">
        <f t="shared" si="49"/>
        <v>100000</v>
      </c>
      <c r="H90" s="79">
        <f t="shared" si="43"/>
        <v>100000</v>
      </c>
      <c r="I90" s="69">
        <f t="shared" si="49"/>
        <v>16975</v>
      </c>
      <c r="J90" s="18"/>
      <c r="K90" s="42"/>
      <c r="L90" s="42"/>
      <c r="M90" s="43">
        <v>100000</v>
      </c>
      <c r="N90" s="22">
        <f t="shared" ref="N90" si="50">SUM(N91)</f>
        <v>64221.69</v>
      </c>
      <c r="O90" s="22">
        <f>O91</f>
        <v>64221.69</v>
      </c>
    </row>
    <row r="91" spans="1:15" ht="15" customHeight="1" x14ac:dyDescent="0.25">
      <c r="A91" s="23" t="s">
        <v>99</v>
      </c>
      <c r="B91" s="32" t="s">
        <v>100</v>
      </c>
      <c r="C91" s="26">
        <v>0</v>
      </c>
      <c r="D91" s="26">
        <v>0</v>
      </c>
      <c r="E91" s="26">
        <v>0</v>
      </c>
      <c r="F91" s="26">
        <v>0</v>
      </c>
      <c r="G91" s="25">
        <v>100000</v>
      </c>
      <c r="H91" s="80">
        <f>SUM(C91:G91)</f>
        <v>100000</v>
      </c>
      <c r="I91" s="70">
        <v>16975</v>
      </c>
      <c r="J91" s="26">
        <v>16975</v>
      </c>
      <c r="K91" s="26">
        <f>G91-J91</f>
        <v>83025</v>
      </c>
      <c r="L91" s="26">
        <f t="shared" ref="L91" si="51">H91-I91</f>
        <v>83025</v>
      </c>
      <c r="M91" s="26">
        <v>100000</v>
      </c>
      <c r="N91" s="26">
        <v>64221.69</v>
      </c>
      <c r="O91" s="26">
        <v>64221.69</v>
      </c>
    </row>
    <row r="92" spans="1:15" ht="16.5" customHeight="1" thickBot="1" x14ac:dyDescent="0.3">
      <c r="A92" s="92" t="s">
        <v>101</v>
      </c>
      <c r="B92" s="93"/>
      <c r="C92" s="33">
        <f>C6</f>
        <v>87624500</v>
      </c>
      <c r="D92" s="33">
        <f>D6</f>
        <v>2747753</v>
      </c>
      <c r="E92" s="33">
        <f>E6</f>
        <v>3126230</v>
      </c>
      <c r="F92" s="33">
        <f>F6</f>
        <v>142000</v>
      </c>
      <c r="G92" s="33">
        <f>G6</f>
        <v>6217517</v>
      </c>
      <c r="H92" s="82">
        <f>SUM(C92:G92)</f>
        <v>99858000</v>
      </c>
      <c r="I92" s="73">
        <f>I6</f>
        <v>61274599.600000001</v>
      </c>
      <c r="J92" s="26"/>
      <c r="K92" s="26"/>
      <c r="L92" s="26"/>
      <c r="M92" s="18">
        <v>104581628.69</v>
      </c>
      <c r="N92" s="18">
        <f>N6</f>
        <v>103291929.86999999</v>
      </c>
      <c r="O92" s="18">
        <f>O83+O52+O7</f>
        <v>8010963.3799999999</v>
      </c>
    </row>
    <row r="93" spans="1:15" ht="18" customHeight="1" x14ac:dyDescent="0.25">
      <c r="B93" s="35" t="s">
        <v>102</v>
      </c>
      <c r="C93" s="36"/>
      <c r="D93" s="36"/>
      <c r="E93" s="38"/>
      <c r="F93" s="37"/>
      <c r="G93" s="53">
        <v>1471850</v>
      </c>
      <c r="H93" s="44"/>
      <c r="I93" s="55"/>
      <c r="J93" s="32"/>
      <c r="K93" s="32"/>
      <c r="L93" s="32"/>
      <c r="M93" s="32"/>
      <c r="N93" s="26"/>
      <c r="O93" s="26"/>
    </row>
    <row r="94" spans="1:15" ht="18" customHeight="1" x14ac:dyDescent="0.25">
      <c r="B94" s="86"/>
      <c r="C94" s="87"/>
      <c r="D94" s="87"/>
      <c r="E94" s="88"/>
      <c r="F94" s="55"/>
      <c r="G94" s="89"/>
      <c r="H94" s="55"/>
      <c r="I94" s="55"/>
      <c r="J94" s="90"/>
      <c r="K94" s="90"/>
      <c r="L94" s="90"/>
      <c r="M94" s="90"/>
      <c r="N94" s="91"/>
      <c r="O94" s="91"/>
    </row>
    <row r="95" spans="1:15" x14ac:dyDescent="0.25">
      <c r="B95" s="83" t="s">
        <v>118</v>
      </c>
      <c r="E95" s="3"/>
      <c r="F95" s="3"/>
      <c r="G95" s="3"/>
      <c r="I95" s="2"/>
    </row>
    <row r="96" spans="1:15" x14ac:dyDescent="0.25">
      <c r="B96" s="84" t="s">
        <v>110</v>
      </c>
      <c r="F96" s="2" t="s">
        <v>111</v>
      </c>
      <c r="I96" s="2"/>
    </row>
    <row r="97" spans="2:9" x14ac:dyDescent="0.25">
      <c r="B97" s="84" t="s">
        <v>112</v>
      </c>
      <c r="I97" s="2"/>
    </row>
    <row r="98" spans="2:9" x14ac:dyDescent="0.25">
      <c r="B98" s="84"/>
      <c r="I98" s="2"/>
    </row>
    <row r="99" spans="2:9" x14ac:dyDescent="0.25">
      <c r="B99" s="84"/>
      <c r="F99" s="85"/>
      <c r="I99" s="2"/>
    </row>
    <row r="100" spans="2:9" x14ac:dyDescent="0.25">
      <c r="B100" s="85" t="s">
        <v>113</v>
      </c>
      <c r="F100" s="85" t="s">
        <v>119</v>
      </c>
      <c r="I100" s="2"/>
    </row>
    <row r="101" spans="2:9" x14ac:dyDescent="0.25">
      <c r="I101" s="2"/>
    </row>
  </sheetData>
  <autoFilter ref="A4:O93"/>
  <mergeCells count="7">
    <mergeCell ref="A92:B92"/>
    <mergeCell ref="B1:C1"/>
    <mergeCell ref="B2:C2"/>
    <mergeCell ref="A7:B7"/>
    <mergeCell ref="A52:B52"/>
    <mergeCell ref="A78:B78"/>
    <mergeCell ref="A81:B81"/>
  </mergeCells>
  <pageMargins left="0.70866141732283472" right="0.70866141732283472" top="0.74803149606299213" bottom="0.74803149606299213" header="0.31496062992125984" footer="0.31496062992125984"/>
  <pageSetup paperSize="9" scale="60" fitToWidth="2" orientation="landscape" r:id="rId1"/>
  <headerFooter>
    <oddFooter>&amp;C&amp;P</oddFooter>
  </headerFooter>
  <rowBreaks count="1" manualBreakCount="1">
    <brk id="51" max="7" man="1"/>
  </rowBreaks>
  <ignoredErrors>
    <ignoredError sqref="D74:E7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19</vt:lpstr>
      <vt:lpstr>'plan 19'!Ispis_naslova</vt:lpstr>
      <vt:lpstr>'plan 19'!Podrucje_ispisa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Kožul</dc:creator>
  <cp:lastModifiedBy>Petra Kožul</cp:lastModifiedBy>
  <cp:lastPrinted>2020-07-10T08:13:03Z</cp:lastPrinted>
  <dcterms:created xsi:type="dcterms:W3CDTF">2019-02-18T14:44:25Z</dcterms:created>
  <dcterms:modified xsi:type="dcterms:W3CDTF">2020-07-10T08:13:16Z</dcterms:modified>
</cp:coreProperties>
</file>